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EBSITE\2025-26\"/>
    </mc:Choice>
  </mc:AlternateContent>
  <xr:revisionPtr revIDLastSave="0" documentId="8_{ADD61348-6D3E-408C-88D7-BAA3EF5967DD}" xr6:coauthVersionLast="47" xr6:coauthVersionMax="47" xr10:uidLastSave="{00000000-0000-0000-0000-000000000000}"/>
  <bookViews>
    <workbookView xWindow="-120" yWindow="-120" windowWidth="29040" windowHeight="15720" xr2:uid="{4E135419-4F85-4F16-8146-1EB10710E9A6}"/>
  </bookViews>
  <sheets>
    <sheet name="Report" sheetId="1" r:id="rId1"/>
    <sheet name="Cluster Summary" sheetId="2" r:id="rId2"/>
    <sheet name="Cluster Chart" sheetId="3" r:id="rId3"/>
    <sheet name="Ward Comparison Table" sheetId="4" r:id="rId4"/>
  </sheets>
  <externalReferences>
    <externalReference r:id="rId5"/>
  </externalReferences>
  <definedNames>
    <definedName name="_xlnm._FilterDatabase" localSheetId="0" hidden="1">Report!$A$6:$I$1204</definedName>
    <definedName name="_xlnm.Print_Area" localSheetId="0">Report!$D$1:$H$1213</definedName>
    <definedName name="Z_2EFBC1A3_2758_483B_A5F7_7E40F3BA8997_.wvu.FilterData" localSheetId="0" hidden="1">Report!$A$6:$I$1204</definedName>
    <definedName name="Z_3852EE31_C100_467E_9AD4_301F08B05C5E_.wvu.FilterData" localSheetId="0" hidden="1">Report!$A$6:$I$1204</definedName>
    <definedName name="Z_40B5F373_839B_4B7C_B57D_099CD7F66716_.wvu.Cols" localSheetId="1" hidden="1">'Cluster Summary'!$C:$C</definedName>
    <definedName name="Z_40B5F373_839B_4B7C_B57D_099CD7F66716_.wvu.Cols" localSheetId="0" hidden="1">Report!$A:$C,Report!$I:$I</definedName>
    <definedName name="Z_40B5F373_839B_4B7C_B57D_099CD7F66716_.wvu.FilterData" localSheetId="0" hidden="1">Report!$A$6:$I$1204</definedName>
    <definedName name="Z_40B5F373_839B_4B7C_B57D_099CD7F66716_.wvu.PrintArea" localSheetId="0" hidden="1">Report!$D$1:$H$1213</definedName>
    <definedName name="Z_51184A0B_7876_4DD1_B3FD_F4E0F4731025_.wvu.FilterData" localSheetId="0" hidden="1">Report!$A$6:$I$1204</definedName>
    <definedName name="Z_5FB5E400_989A_4C67_8F13_AC6596AA9E7F_.wvu.FilterData" localSheetId="0" hidden="1">Report!$A$6:$I$1204</definedName>
    <definedName name="Z_758FD625_52CF_4B12_9722_D8C8CB57CE42_.wvu.FilterData" localSheetId="0" hidden="1">Report!$A$6:$I$1204</definedName>
    <definedName name="Z_78757FD7_DFC2_494C_8A67_2716F2A60BD1_.wvu.Cols" localSheetId="1" hidden="1">'Cluster Summary'!$C:$C</definedName>
    <definedName name="Z_78757FD7_DFC2_494C_8A67_2716F2A60BD1_.wvu.Cols" localSheetId="0" hidden="1">Report!$A:$C,Report!$I:$I</definedName>
    <definedName name="Z_78757FD7_DFC2_494C_8A67_2716F2A60BD1_.wvu.FilterData" localSheetId="0" hidden="1">Report!$A$6:$I$1204</definedName>
    <definedName name="Z_78757FD7_DFC2_494C_8A67_2716F2A60BD1_.wvu.PrintArea" localSheetId="0" hidden="1">Report!$C$1:$H$1213</definedName>
    <definedName name="Z_81132FDE_4B93_4D47_8CED_0B7BB6819FD3_.wvu.FilterData" localSheetId="0" hidden="1">Report!$A$6:$I$1204</definedName>
    <definedName name="Z_845740E4_AFA8_4D89_A03E_143D7D7F2D28_.wvu.FilterData" localSheetId="0" hidden="1">Report!$A$6:$I$1204</definedName>
    <definedName name="Z_8CAF43BF_41C1_40C8_9592_7D0779DDD594_.wvu.Cols" localSheetId="0" hidden="1">Report!$A:$C,Report!$I:$I</definedName>
    <definedName name="Z_8CAF43BF_41C1_40C8_9592_7D0779DDD594_.wvu.FilterData" localSheetId="0" hidden="1">Report!$A$6:$I$1204</definedName>
    <definedName name="Z_8CAF43BF_41C1_40C8_9592_7D0779DDD594_.wvu.PrintArea" localSheetId="0" hidden="1">Report!$A$1:$H$1215</definedName>
    <definedName name="Z_8CAF43BF_41C1_40C8_9592_7D0779DDD594_.wvu.Rows" localSheetId="0" hidden="1">Report!$2:$4,Report!$10:$10,Report!$25:$25,Report!$34:$35,Report!$44:$44,Report!$56:$56,Report!$69:$69,Report!$80:$80,Report!$90:$90,Report!#REF!,Report!$108:$108,Report!$120:$120,Report!$129:$129,Report!$139:$139,Report!$170:$170,Report!$171:$171,Report!$174:$174,Report!$188:$188,Report!$202:$202,Report!$213:$213,Report!#REF!,Report!$224:$224,Report!$240:$240,Report!#REF!,Report!$263:$263,Report!#REF!,Report!$287:$287,Report!$300:$300,Report!$305:$305,Report!#REF!,Report!#REF!,Report!$318:$319,Report!#REF!,Report!#REF!,Report!$347:$347,Report!$363:$363,Report!$381:$381,Report!$391:$391,Report!$409:$409,Report!$430:$430,Report!$441:$441,Report!$466:$467,Report!$479:$480,Report!$504:$505,Report!$532:$533,Report!$544:$544,Report!#REF!,Report!$564:$564,Report!$577:$578,Report!$593:$593,Report!$613:$613,Report!$622:$625,Report!$648:$649,Report!#REF!,Report!$670:$671,Report!#REF!,Report!$699:$699,Report!$720:$725,Report!$734:$734,Report!#REF!,Report!$752:$752,Report!$760:$762,Report!#REF!,Report!$817:$817,Report!#REF!,Report!$869:$869,Report!$900:$900,Report!#REF!,Report!$914:$915,Report!$982:$999,Report!#REF!,Report!#REF!,Report!$1151:$1151,Report!$1162:$1163,Report!$336:$336,Report!$1201:$1201</definedName>
    <definedName name="Z_8DA3215B_F65C_4DC7_B0B4_1C0EA9F6F28E_.wvu.FilterData" localSheetId="0" hidden="1">Report!$A$6:$I$1204</definedName>
    <definedName name="Z_932BDA75_2AEB_4211_9B08_541869B4F9F4_.wvu.FilterData" localSheetId="0" hidden="1">Report!$A$6:$I$1204</definedName>
    <definedName name="Z_933B90C3_C9AB_4E40_91EF_0BBA44B6EBDA_.wvu.FilterData" localSheetId="0" hidden="1">Report!$A$6:$I$1204</definedName>
    <definedName name="Z_A1492C60_36B1_4A16_A9C7_0301CFB06009_.wvu.Cols" localSheetId="1" hidden="1">'Cluster Summary'!$C:$C</definedName>
    <definedName name="Z_A1492C60_36B1_4A16_A9C7_0301CFB06009_.wvu.Cols" localSheetId="0" hidden="1">Report!$A:$C,Report!$I:$I</definedName>
    <definedName name="Z_A1492C60_36B1_4A16_A9C7_0301CFB06009_.wvu.FilterData" localSheetId="0" hidden="1">Report!$A$6:$I$1204</definedName>
    <definedName name="Z_A1492C60_36B1_4A16_A9C7_0301CFB06009_.wvu.PrintArea" localSheetId="0" hidden="1">Report!$C$1:$H$1213</definedName>
    <definedName name="Z_C8252F3C_FAFE_4DFE_A1A3_F75694D67C8F_.wvu.FilterData" localSheetId="0" hidden="1">Report!$A$6:$I$1204</definedName>
    <definedName name="Z_C88A3AD5_50F8_4B91_8F9B_D2C3AEF135D6_.wvu.Cols" localSheetId="1" hidden="1">'Cluster Summary'!$C:$C</definedName>
    <definedName name="Z_C88A3AD5_50F8_4B91_8F9B_D2C3AEF135D6_.wvu.Cols" localSheetId="0" hidden="1">Report!$A:$C,Report!$I:$I</definedName>
    <definedName name="Z_C88A3AD5_50F8_4B91_8F9B_D2C3AEF135D6_.wvu.FilterData" localSheetId="0" hidden="1">Report!$A$6:$I$1204</definedName>
    <definedName name="Z_C88A3AD5_50F8_4B91_8F9B_D2C3AEF135D6_.wvu.PrintArea" localSheetId="0" hidden="1">Report!$C$1:$H$1213</definedName>
    <definedName name="Z_C88A3AD5_50F8_4B91_8F9B_D2C3AEF135D6_.wvu.Rows" localSheetId="0" hidden="1">Report!$3:$4,Report!$55:$55,Report!#REF!,Report!#REF!,Report!#REF!,Report!#REF!,Report!#REF!,Report!#REF!,Report!#REF!,Report!$404:$408,Report!#REF!,Report!#REF!,Report!$440:$440,Report!$454:$454,Report!$464:$465,Report!#REF!,Report!#REF!,Report!$520:$529,Report!$543:$543,Report!#REF!,Report!$563:$563,Report!#REF!,Report!$587:$589,Report!$608:$612,Report!$636:$638,Report!$647:$647,Report!$658:$659,Report!$670:$670,Report!$680:$682,Report!$723:$723,Report!#REF!,Report!#REF!,Report!#REF!,Report!#REF!,Report!#REF!,Report!$949:$949,Report!#REF!,Report!$1002:$1002,Report!#REF!,Report!$1132:$1134</definedName>
    <definedName name="Z_D28B83CF_B3AF_42FD_B3F1_15535C75CB2D_.wvu.FilterData" localSheetId="0" hidden="1">Report!$A$6:$I$1204</definedName>
    <definedName name="Z_D5FF86BA_2053_4CFD_95B6_9FE54B4CDC7B_.wvu.Cols" localSheetId="1" hidden="1">'Cluster Summary'!$C:$C</definedName>
    <definedName name="Z_D5FF86BA_2053_4CFD_95B6_9FE54B4CDC7B_.wvu.Cols" localSheetId="0" hidden="1">Report!$A:$C,Report!$I:$I</definedName>
    <definedName name="Z_D5FF86BA_2053_4CFD_95B6_9FE54B4CDC7B_.wvu.FilterData" localSheetId="0" hidden="1">Report!$A$6:$I$1204</definedName>
    <definedName name="Z_D5FF86BA_2053_4CFD_95B6_9FE54B4CDC7B_.wvu.PrintArea" localSheetId="0" hidden="1">Report!$C$1:$H$1213</definedName>
    <definedName name="Z_F9FB8016_B2C5_4FFE_9457_216469B03252_.wvu.Cols" localSheetId="1" hidden="1">'Cluster Summary'!$C:$C</definedName>
    <definedName name="Z_F9FB8016_B2C5_4FFE_9457_216469B03252_.wvu.Cols" localSheetId="0" hidden="1">Report!$A:$C,Report!$I:$I</definedName>
    <definedName name="Z_F9FB8016_B2C5_4FFE_9457_216469B03252_.wvu.FilterData" localSheetId="0" hidden="1">Report!$A$6:$I$1204</definedName>
    <definedName name="Z_F9FB8016_B2C5_4FFE_9457_216469B03252_.wvu.PrintArea" localSheetId="0" hidden="1">Report!$D$1:$H$1213</definedName>
    <definedName name="Z_F9FB8016_B2C5_4FFE_9457_216469B03252_.wvu.Rows" localSheetId="0" hidden="1">Report!$3:$4,Report!#REF!,Report!$33:$34,Report!$55:$55,Report!#REF!,Report!$79:$79,Report!#REF!,Report!#REF!,Report!$107:$107,Report!$116:$119,Report!#REF!,Report!#REF!,Report!#REF!,Report!#REF!,Report!#REF!,Report!#REF!,Report!#REF!,Report!$404:$408,Report!#REF!,Report!#REF!,Report!$440:$440,Report!$454:$454,Report!$464:$465,Report!#REF!,Report!#REF!,Report!$520:$529,Report!$543:$543,Report!#REF!,Report!#REF!,Report!$587:$589,Report!$608:$612,Report!$636:$638,Report!$647:$647,Report!$670:$670,Report!$723:$723,Report!#REF!,Report!#REF!,Report!#REF!,Report!#REF!,Report!#REF!,Report!$949:$949,Report!#REF!,Report!$1002:$1002,Report!#REF!,Report!$1132:$1134</definedName>
    <definedName name="Z_FB7BF25A_32DD_49B7_ACF8_F568DF95AB24_.wvu.Cols" localSheetId="1" hidden="1">'Cluster Summary'!$C:$C</definedName>
    <definedName name="Z_FB7BF25A_32DD_49B7_ACF8_F568DF95AB24_.wvu.Cols" localSheetId="0" hidden="1">Report!$A:$C,Report!$I:$I</definedName>
    <definedName name="Z_FB7BF25A_32DD_49B7_ACF8_F568DF95AB24_.wvu.FilterData" localSheetId="0" hidden="1">Report!$A$6:$I$1204</definedName>
    <definedName name="Z_FB7BF25A_32DD_49B7_ACF8_F568DF95AB24_.wvu.PrintArea" localSheetId="0" hidden="1">Report!$C$1:$H$1213</definedName>
    <definedName name="Z_FD510CA0_62E4_444C_AE6F_CEFD49405DD0_.wvu.FilterData" localSheetId="0" hidden="1">Report!$A$6:$I$1204</definedName>
  </definedNames>
  <calcPr calcId="191029"/>
  <customWorkbookViews>
    <customWorkbookView name="Ishaam Dolley - Personal View" guid="{C88A3AD5-50F8-4B91-8F9B-D2C3AEF135D6}" mergeInterval="0" personalView="1" maximized="1" xWindow="-9" yWindow="-9" windowWidth="1938" windowHeight="1038" activeSheetId="1"/>
    <customWorkbookView name="Lucille Baatjes - Personal View" guid="{78757FD7-DFC2-494C-8A67-2716F2A60BD1}" mergeInterval="0" personalView="1" maximized="1" xWindow="-1928" yWindow="-8" windowWidth="1936" windowHeight="1048" activeSheetId="1"/>
    <customWorkbookView name="NKUTHAZO, BLAAUW - Personal View" guid="{A1492C60-36B1-4A16-A9C7-0301CFB06009}" mergeInterval="0" personalView="1" xWindow="262" yWindow="16" windowWidth="1300" windowHeight="946" activeSheetId="1"/>
    <customWorkbookView name="Sinetemba Nika - Personal View" guid="{D5FF86BA-2053-4CFD-95B6-9FE54B4CDC7B}" mergeInterval="0" personalView="1" xWindow="-7" windowWidth="974" windowHeight="1039" activeSheetId="1"/>
    <customWorkbookView name="Jackson, Ngcelwane - Personal View" guid="{8CAF43BF-41C1-40C8-9592-7D0779DDD594}" mergeInterval="0" personalView="1" maximized="1" xWindow="-11" yWindow="-11" windowWidth="1942" windowHeight="1030" activeSheetId="1"/>
    <customWorkbookView name="Asiphe Machi - Personal View" guid="{FB7BF25A-32DD-49B7-ACF8-F568DF95AB24}" mergeInterval="0" personalView="1" maximized="1" xWindow="-9" yWindow="-9" windowWidth="1938" windowHeight="1038" activeSheetId="1"/>
    <customWorkbookView name="Anela Madebelele - Personal View" guid="{40B5F373-839B-4B7C-B57D-099CD7F66716}" mergeInterval="0" personalView="1" maximized="1" xWindow="-11" yWindow="-11" windowWidth="1942" windowHeight="1030" activeSheetId="1"/>
    <customWorkbookView name="Bilqees Bruce - Personal View" guid="{F9FB8016-B2C5-4FFE-9457-216469B03252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8" i="4"/>
  <c r="C7" i="4"/>
  <c r="C6" i="4"/>
  <c r="C5" i="4"/>
  <c r="C4" i="4"/>
  <c r="C3" i="4"/>
  <c r="C63" i="4" l="1"/>
  <c r="H176" i="1"/>
  <c r="G176" i="1"/>
  <c r="F176" i="1"/>
  <c r="F68" i="1"/>
  <c r="D63" i="4" l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F770" i="1"/>
  <c r="F878" i="1"/>
  <c r="F1177" i="1"/>
  <c r="F362" i="1"/>
  <c r="F736" i="1"/>
  <c r="F873" i="1"/>
  <c r="F783" i="1"/>
  <c r="F792" i="1" s="1"/>
  <c r="F827" i="1"/>
  <c r="F1193" i="1"/>
  <c r="F1186" i="1"/>
  <c r="F1195" i="1"/>
  <c r="F899" i="1"/>
  <c r="F1161" i="1"/>
  <c r="F229" i="1"/>
  <c r="F846" i="1"/>
  <c r="F1211" i="1"/>
  <c r="F1048" i="1" l="1"/>
  <c r="F660" i="1"/>
  <c r="F663" i="1" s="1"/>
  <c r="E52" i="4" s="1"/>
  <c r="F52" i="4" s="1"/>
  <c r="F814" i="1" l="1"/>
  <c r="F127" i="1"/>
  <c r="F106" i="1"/>
  <c r="F87" i="1"/>
  <c r="F44" i="1"/>
  <c r="F19" i="1"/>
  <c r="F866" i="1" l="1"/>
  <c r="F895" i="1"/>
  <c r="F1185" i="1"/>
  <c r="F1163" i="1"/>
  <c r="C120" i="1"/>
  <c r="F574" i="1"/>
  <c r="F803" i="1"/>
  <c r="F61" i="1"/>
  <c r="F614" i="1"/>
  <c r="G150" i="1"/>
  <c r="H150" i="1"/>
  <c r="F150" i="1"/>
  <c r="F1181" i="1"/>
  <c r="F196" i="1"/>
  <c r="G264" i="1"/>
  <c r="H264" i="1"/>
  <c r="F264" i="1"/>
  <c r="G214" i="1"/>
  <c r="H214" i="1"/>
  <c r="F214" i="1"/>
  <c r="F801" i="1"/>
  <c r="F1194" i="1"/>
  <c r="H1199" i="1"/>
  <c r="G1199" i="1"/>
  <c r="F1199" i="1"/>
  <c r="F410" i="1"/>
  <c r="F1162" i="1"/>
  <c r="F1158" i="1"/>
  <c r="F726" i="1"/>
  <c r="F879" i="1"/>
  <c r="G61" i="1" l="1"/>
  <c r="H61" i="1"/>
  <c r="A990" i="1"/>
  <c r="G639" i="1"/>
  <c r="H639" i="1"/>
  <c r="F639" i="1"/>
  <c r="G545" i="1"/>
  <c r="H545" i="1"/>
  <c r="F545" i="1"/>
  <c r="G792" i="1"/>
  <c r="H792" i="1"/>
  <c r="F818" i="1"/>
  <c r="G229" i="1"/>
  <c r="H229" i="1"/>
  <c r="G162" i="1"/>
  <c r="H162" i="1"/>
  <c r="F162" i="1"/>
  <c r="F70" i="1"/>
  <c r="G38" i="1"/>
  <c r="H38" i="1"/>
  <c r="F38" i="1"/>
  <c r="G736" i="1"/>
  <c r="H736" i="1"/>
  <c r="F566" i="1"/>
  <c r="F382" i="1"/>
  <c r="G353" i="1"/>
  <c r="H353" i="1"/>
  <c r="F353" i="1"/>
  <c r="G81" i="1"/>
  <c r="H81" i="1"/>
  <c r="F81" i="1"/>
  <c r="F845" i="1"/>
  <c r="H845" i="1"/>
  <c r="G845" i="1"/>
  <c r="H846" i="1"/>
  <c r="G846" i="1"/>
  <c r="H889" i="1"/>
  <c r="G889" i="1"/>
  <c r="F889" i="1"/>
  <c r="H899" i="1" l="1"/>
  <c r="H855" i="1"/>
  <c r="G855" i="1"/>
  <c r="H503" i="1"/>
  <c r="G503" i="1"/>
  <c r="H848" i="1"/>
  <c r="G848" i="1"/>
  <c r="H847" i="1"/>
  <c r="G847" i="1"/>
  <c r="H841" i="1"/>
  <c r="G841" i="1"/>
  <c r="H838" i="1"/>
  <c r="G838" i="1"/>
  <c r="H837" i="1"/>
  <c r="G837" i="1"/>
  <c r="H831" i="1"/>
  <c r="G831" i="1"/>
  <c r="H827" i="1"/>
  <c r="G827" i="1"/>
  <c r="H824" i="1"/>
  <c r="G824" i="1"/>
  <c r="F841" i="1"/>
  <c r="F826" i="1"/>
  <c r="F1203" i="1"/>
  <c r="G1027" i="1"/>
  <c r="F1027" i="1"/>
  <c r="F320" i="1"/>
  <c r="A1081" i="1"/>
  <c r="F1001" i="1"/>
  <c r="H726" i="1"/>
  <c r="G726" i="1"/>
  <c r="H818" i="1"/>
  <c r="G818" i="1"/>
  <c r="E1044" i="1"/>
  <c r="F11" i="1"/>
  <c r="F26" i="1"/>
  <c r="F506" i="1"/>
  <c r="D9" i="2" l="1"/>
  <c r="G753" i="1"/>
  <c r="H753" i="1"/>
  <c r="F753" i="1"/>
  <c r="F579" i="1"/>
  <c r="G109" i="1"/>
  <c r="H109" i="1"/>
  <c r="F109" i="1"/>
  <c r="G311" i="1"/>
  <c r="H311" i="1"/>
  <c r="F311" i="1"/>
  <c r="F130" i="1"/>
  <c r="G276" i="1" l="1"/>
  <c r="H276" i="1"/>
  <c r="F431" i="1" l="1"/>
  <c r="G327" i="1"/>
  <c r="H327" i="1"/>
  <c r="F327" i="1"/>
  <c r="G744" i="1"/>
  <c r="H744" i="1"/>
  <c r="F744" i="1"/>
  <c r="F276" i="1"/>
  <c r="F203" i="1"/>
  <c r="F121" i="1"/>
  <c r="F685" i="1"/>
  <c r="F456" i="1"/>
  <c r="F442" i="1"/>
  <c r="A1190" i="1" l="1"/>
  <c r="A207" i="1"/>
  <c r="G1203" i="1"/>
  <c r="G1135" i="1"/>
  <c r="H1135" i="1"/>
  <c r="F1135" i="1"/>
  <c r="A42" i="1"/>
  <c r="F860" i="1" l="1"/>
  <c r="G1010" i="1" l="1"/>
  <c r="H1010" i="1"/>
  <c r="F1010" i="1"/>
  <c r="G650" i="1"/>
  <c r="G652" i="1" s="1"/>
  <c r="F216" i="1"/>
  <c r="E20" i="4" s="1"/>
  <c r="F20" i="4" s="1"/>
  <c r="G231" i="1"/>
  <c r="H231" i="1"/>
  <c r="F231" i="1"/>
  <c r="E21" i="4" s="1"/>
  <c r="F21" i="4" s="1"/>
  <c r="G1141" i="1"/>
  <c r="H1141" i="1"/>
  <c r="F902" i="1"/>
  <c r="A949" i="1"/>
  <c r="A1115" i="1"/>
  <c r="H1210" i="1"/>
  <c r="H1209" i="1" s="1"/>
  <c r="G1210" i="1"/>
  <c r="G1209" i="1" s="1"/>
  <c r="F1210" i="1"/>
  <c r="F1209" i="1" s="1"/>
  <c r="E1203" i="1"/>
  <c r="A1154" i="1"/>
  <c r="D1154" i="1" s="1"/>
  <c r="H1152" i="1"/>
  <c r="G1152" i="1"/>
  <c r="F1152" i="1"/>
  <c r="E1152" i="1"/>
  <c r="A1144" i="1"/>
  <c r="D1144" i="1" s="1"/>
  <c r="E1141" i="1"/>
  <c r="A1137" i="1"/>
  <c r="E1135" i="1"/>
  <c r="A1046" i="1"/>
  <c r="D1046" i="1" s="1"/>
  <c r="H1044" i="1"/>
  <c r="G1044" i="1"/>
  <c r="A1012" i="1"/>
  <c r="D1012" i="1" s="1"/>
  <c r="E1010" i="1"/>
  <c r="A1003" i="1"/>
  <c r="D1003" i="1" s="1"/>
  <c r="H1001" i="1"/>
  <c r="E1001" i="1"/>
  <c r="A904" i="1"/>
  <c r="E902" i="1"/>
  <c r="A862" i="1"/>
  <c r="D862" i="1" s="1"/>
  <c r="H860" i="1"/>
  <c r="G860" i="1"/>
  <c r="E860" i="1"/>
  <c r="A820" i="1"/>
  <c r="D820" i="1" s="1"/>
  <c r="E818" i="1"/>
  <c r="A797" i="1"/>
  <c r="D797" i="1" s="1"/>
  <c r="H795" i="1"/>
  <c r="G795" i="1"/>
  <c r="F795" i="1"/>
  <c r="E62" i="4" s="1"/>
  <c r="F62" i="4" s="1"/>
  <c r="E792" i="1"/>
  <c r="A777" i="1"/>
  <c r="H773" i="1"/>
  <c r="H775" i="1" s="1"/>
  <c r="G773" i="1"/>
  <c r="G775" i="1" s="1"/>
  <c r="F773" i="1"/>
  <c r="F775" i="1" s="1"/>
  <c r="E61" i="4" s="1"/>
  <c r="F61" i="4" s="1"/>
  <c r="E773" i="1"/>
  <c r="A767" i="1"/>
  <c r="D767" i="1" s="1"/>
  <c r="H763" i="1"/>
  <c r="H765" i="1" s="1"/>
  <c r="G763" i="1"/>
  <c r="G765" i="1" s="1"/>
  <c r="F763" i="1"/>
  <c r="F765" i="1" s="1"/>
  <c r="E60" i="4" s="1"/>
  <c r="F60" i="4" s="1"/>
  <c r="E763" i="1"/>
  <c r="A757" i="1"/>
  <c r="D757" i="1" s="1"/>
  <c r="H755" i="1"/>
  <c r="G755" i="1"/>
  <c r="F755" i="1"/>
  <c r="E59" i="4" s="1"/>
  <c r="F59" i="4" s="1"/>
  <c r="E753" i="1"/>
  <c r="A748" i="1"/>
  <c r="H746" i="1"/>
  <c r="G746" i="1"/>
  <c r="F746" i="1"/>
  <c r="E58" i="4" s="1"/>
  <c r="F58" i="4" s="1"/>
  <c r="E744" i="1"/>
  <c r="A740" i="1"/>
  <c r="E736" i="1"/>
  <c r="A732" i="1"/>
  <c r="H730" i="1"/>
  <c r="G730" i="1"/>
  <c r="F730" i="1"/>
  <c r="E56" i="4" s="1"/>
  <c r="F56" i="4" s="1"/>
  <c r="E726" i="1"/>
  <c r="A705" i="1"/>
  <c r="D705" i="1" s="1"/>
  <c r="H700" i="1"/>
  <c r="H703" i="1" s="1"/>
  <c r="G700" i="1"/>
  <c r="G703" i="1" s="1"/>
  <c r="F700" i="1"/>
  <c r="F703" i="1" s="1"/>
  <c r="E55" i="4" s="1"/>
  <c r="F55" i="4" s="1"/>
  <c r="E700" i="1"/>
  <c r="A689" i="1"/>
  <c r="H685" i="1"/>
  <c r="H687" i="1" s="1"/>
  <c r="G685" i="1"/>
  <c r="G687" i="1" s="1"/>
  <c r="F687" i="1"/>
  <c r="E54" i="4" s="1"/>
  <c r="F54" i="4" s="1"/>
  <c r="E685" i="1"/>
  <c r="A676" i="1"/>
  <c r="D676" i="1" s="1"/>
  <c r="H672" i="1"/>
  <c r="H674" i="1" s="1"/>
  <c r="G672" i="1"/>
  <c r="G674" i="1" s="1"/>
  <c r="F672" i="1"/>
  <c r="F674" i="1" s="1"/>
  <c r="E53" i="4" s="1"/>
  <c r="F53" i="4" s="1"/>
  <c r="E672" i="1"/>
  <c r="A665" i="1"/>
  <c r="D665" i="1" s="1"/>
  <c r="H660" i="1"/>
  <c r="H663" i="1" s="1"/>
  <c r="G660" i="1"/>
  <c r="G663" i="1" s="1"/>
  <c r="E660" i="1"/>
  <c r="A654" i="1"/>
  <c r="H650" i="1"/>
  <c r="H652" i="1" s="1"/>
  <c r="F650" i="1"/>
  <c r="F652" i="1" s="1"/>
  <c r="E51" i="4" s="1"/>
  <c r="F51" i="4" s="1"/>
  <c r="E650" i="1"/>
  <c r="A644" i="1"/>
  <c r="D644" i="1" s="1"/>
  <c r="E639" i="1"/>
  <c r="A618" i="1"/>
  <c r="H614" i="1"/>
  <c r="H616" i="1" s="1"/>
  <c r="G614" i="1"/>
  <c r="G616" i="1" s="1"/>
  <c r="F616" i="1"/>
  <c r="E49" i="4" s="1"/>
  <c r="F49" i="4" s="1"/>
  <c r="E614" i="1"/>
  <c r="A598" i="1"/>
  <c r="D598" i="1" s="1"/>
  <c r="H594" i="1"/>
  <c r="H596" i="1" s="1"/>
  <c r="G594" i="1"/>
  <c r="G596" i="1" s="1"/>
  <c r="F594" i="1"/>
  <c r="F596" i="1" s="1"/>
  <c r="E48" i="4" s="1"/>
  <c r="F48" i="4" s="1"/>
  <c r="E594" i="1"/>
  <c r="A584" i="1"/>
  <c r="D584" i="1" s="1"/>
  <c r="H579" i="1"/>
  <c r="H582" i="1" s="1"/>
  <c r="G579" i="1"/>
  <c r="G582" i="1" s="1"/>
  <c r="F582" i="1"/>
  <c r="E47" i="4" s="1"/>
  <c r="F47" i="4" s="1"/>
  <c r="E579" i="1"/>
  <c r="A570" i="1"/>
  <c r="D570" i="1" s="1"/>
  <c r="H566" i="1"/>
  <c r="H568" i="1" s="1"/>
  <c r="G566" i="1"/>
  <c r="G568" i="1" s="1"/>
  <c r="F568" i="1"/>
  <c r="E46" i="4" s="1"/>
  <c r="F46" i="4" s="1"/>
  <c r="E566" i="1"/>
  <c r="A559" i="1"/>
  <c r="D559" i="1" s="1"/>
  <c r="H556" i="1"/>
  <c r="H558" i="1" s="1"/>
  <c r="G556" i="1"/>
  <c r="G558" i="1" s="1"/>
  <c r="F556" i="1"/>
  <c r="F558" i="1" s="1"/>
  <c r="E45" i="4" s="1"/>
  <c r="F45" i="4" s="1"/>
  <c r="E556" i="1"/>
  <c r="A549" i="1"/>
  <c r="D549" i="1" s="1"/>
  <c r="E545" i="1"/>
  <c r="A539" i="1"/>
  <c r="H534" i="1"/>
  <c r="H537" i="1" s="1"/>
  <c r="G534" i="1"/>
  <c r="G537" i="1" s="1"/>
  <c r="F534" i="1"/>
  <c r="F537" i="1" s="1"/>
  <c r="E43" i="4" s="1"/>
  <c r="F43" i="4" s="1"/>
  <c r="E534" i="1"/>
  <c r="A510" i="1"/>
  <c r="H506" i="1"/>
  <c r="H508" i="1" s="1"/>
  <c r="G506" i="1"/>
  <c r="G508" i="1" s="1"/>
  <c r="F508" i="1"/>
  <c r="E42" i="4" s="1"/>
  <c r="F42" i="4" s="1"/>
  <c r="E506" i="1"/>
  <c r="A486" i="1"/>
  <c r="D486" i="1" s="1"/>
  <c r="H481" i="1"/>
  <c r="H484" i="1" s="1"/>
  <c r="G481" i="1"/>
  <c r="G484" i="1" s="1"/>
  <c r="F481" i="1"/>
  <c r="F484" i="1" s="1"/>
  <c r="E41" i="4" s="1"/>
  <c r="F41" i="4" s="1"/>
  <c r="E481" i="1"/>
  <c r="A472" i="1"/>
  <c r="D472" i="1" s="1"/>
  <c r="H468" i="1"/>
  <c r="H470" i="1" s="1"/>
  <c r="G468" i="1"/>
  <c r="G470" i="1" s="1"/>
  <c r="F468" i="1"/>
  <c r="F470" i="1" s="1"/>
  <c r="E40" i="4" s="1"/>
  <c r="F40" i="4" s="1"/>
  <c r="E468" i="1"/>
  <c r="A461" i="1"/>
  <c r="D461" i="1" s="1"/>
  <c r="H456" i="1"/>
  <c r="H459" i="1" s="1"/>
  <c r="G456" i="1"/>
  <c r="G459" i="1" s="1"/>
  <c r="F459" i="1"/>
  <c r="E39" i="4" s="1"/>
  <c r="F39" i="4" s="1"/>
  <c r="E456" i="1"/>
  <c r="A447" i="1"/>
  <c r="D447" i="1" s="1"/>
  <c r="H442" i="1"/>
  <c r="H445" i="1" s="1"/>
  <c r="G442" i="1"/>
  <c r="G445" i="1" s="1"/>
  <c r="F445" i="1"/>
  <c r="E38" i="4" s="1"/>
  <c r="F38" i="4" s="1"/>
  <c r="E442" i="1"/>
  <c r="A435" i="1"/>
  <c r="D435" i="1" s="1"/>
  <c r="H431" i="1"/>
  <c r="H433" i="1" s="1"/>
  <c r="G431" i="1"/>
  <c r="G433" i="1" s="1"/>
  <c r="F433" i="1"/>
  <c r="E37" i="4" s="1"/>
  <c r="F37" i="4" s="1"/>
  <c r="E431" i="1"/>
  <c r="A425" i="1"/>
  <c r="D425" i="1" s="1"/>
  <c r="H421" i="1"/>
  <c r="H423" i="1" s="1"/>
  <c r="G421" i="1"/>
  <c r="G423" i="1" s="1"/>
  <c r="F421" i="1"/>
  <c r="F423" i="1" s="1"/>
  <c r="E36" i="4" s="1"/>
  <c r="F36" i="4" s="1"/>
  <c r="E421" i="1"/>
  <c r="A415" i="1"/>
  <c r="D415" i="1" s="1"/>
  <c r="H410" i="1"/>
  <c r="H413" i="1" s="1"/>
  <c r="G410" i="1"/>
  <c r="G413" i="1" s="1"/>
  <c r="F413" i="1"/>
  <c r="E35" i="4" s="1"/>
  <c r="F35" i="4" s="1"/>
  <c r="E410" i="1"/>
  <c r="A396" i="1"/>
  <c r="D396" i="1" s="1"/>
  <c r="H392" i="1"/>
  <c r="H394" i="1" s="1"/>
  <c r="G392" i="1"/>
  <c r="G394" i="1" s="1"/>
  <c r="F392" i="1"/>
  <c r="F394" i="1" s="1"/>
  <c r="E34" i="4" s="1"/>
  <c r="F34" i="4" s="1"/>
  <c r="E392" i="1"/>
  <c r="A386" i="1"/>
  <c r="D386" i="1" s="1"/>
  <c r="H382" i="1"/>
  <c r="H384" i="1" s="1"/>
  <c r="G382" i="1"/>
  <c r="G384" i="1" s="1"/>
  <c r="F384" i="1"/>
  <c r="E33" i="4" s="1"/>
  <c r="F33" i="4" s="1"/>
  <c r="E382" i="1"/>
  <c r="A369" i="1"/>
  <c r="D369" i="1" s="1"/>
  <c r="H364" i="1"/>
  <c r="H367" i="1" s="1"/>
  <c r="G364" i="1"/>
  <c r="G367" i="1" s="1"/>
  <c r="F364" i="1"/>
  <c r="F367" i="1" s="1"/>
  <c r="E32" i="4" s="1"/>
  <c r="F32" i="4" s="1"/>
  <c r="E364" i="1"/>
  <c r="A358" i="1"/>
  <c r="H356" i="1"/>
  <c r="G356" i="1"/>
  <c r="F356" i="1"/>
  <c r="E31" i="4" s="1"/>
  <c r="F31" i="4" s="1"/>
  <c r="E353" i="1"/>
  <c r="A332" i="1"/>
  <c r="F330" i="1"/>
  <c r="E30" i="4" s="1"/>
  <c r="F30" i="4" s="1"/>
  <c r="E327" i="1"/>
  <c r="A324" i="1"/>
  <c r="H320" i="1"/>
  <c r="H322" i="1" s="1"/>
  <c r="G320" i="1"/>
  <c r="G322" i="1" s="1"/>
  <c r="F322" i="1"/>
  <c r="E29" i="4" s="1"/>
  <c r="F29" i="4" s="1"/>
  <c r="E320" i="1"/>
  <c r="A315" i="1"/>
  <c r="E311" i="1"/>
  <c r="A305" i="1"/>
  <c r="H301" i="1"/>
  <c r="H303" i="1" s="1"/>
  <c r="G301" i="1"/>
  <c r="G303" i="1" s="1"/>
  <c r="F301" i="1"/>
  <c r="E301" i="1"/>
  <c r="A292" i="1"/>
  <c r="H288" i="1"/>
  <c r="H291" i="1" s="1"/>
  <c r="G288" i="1"/>
  <c r="G291" i="1" s="1"/>
  <c r="F288" i="1"/>
  <c r="F291" i="1" s="1"/>
  <c r="E26" i="4" s="1"/>
  <c r="F26" i="4" s="1"/>
  <c r="E288" i="1"/>
  <c r="A280" i="1"/>
  <c r="H278" i="1"/>
  <c r="G278" i="1"/>
  <c r="F278" i="1"/>
  <c r="E25" i="4" s="1"/>
  <c r="F25" i="4" s="1"/>
  <c r="E276" i="1"/>
  <c r="A269" i="1"/>
  <c r="H267" i="1"/>
  <c r="G267" i="1"/>
  <c r="F267" i="1"/>
  <c r="E24" i="4" s="1"/>
  <c r="F24" i="4" s="1"/>
  <c r="E264" i="1"/>
  <c r="A256" i="1"/>
  <c r="H252" i="1"/>
  <c r="H254" i="1" s="1"/>
  <c r="G252" i="1"/>
  <c r="G254" i="1" s="1"/>
  <c r="F252" i="1"/>
  <c r="F254" i="1" s="1"/>
  <c r="E23" i="4" s="1"/>
  <c r="F23" i="4" s="1"/>
  <c r="E252" i="1"/>
  <c r="A245" i="1"/>
  <c r="D245" i="1" s="1"/>
  <c r="H241" i="1"/>
  <c r="H243" i="1" s="1"/>
  <c r="G241" i="1"/>
  <c r="G243" i="1" s="1"/>
  <c r="F241" i="1"/>
  <c r="F243" i="1" s="1"/>
  <c r="E22" i="4" s="1"/>
  <c r="F22" i="4" s="1"/>
  <c r="E241" i="1"/>
  <c r="A233" i="1"/>
  <c r="E229" i="1"/>
  <c r="A218" i="1"/>
  <c r="H216" i="1"/>
  <c r="G216" i="1"/>
  <c r="E214" i="1"/>
  <c r="D207" i="1"/>
  <c r="H203" i="1"/>
  <c r="H205" i="1" s="1"/>
  <c r="G203" i="1"/>
  <c r="G205" i="1" s="1"/>
  <c r="F205" i="1"/>
  <c r="E19" i="4" s="1"/>
  <c r="F19" i="4" s="1"/>
  <c r="E203" i="1"/>
  <c r="A194" i="1"/>
  <c r="H189" i="1"/>
  <c r="H192" i="1" s="1"/>
  <c r="G189" i="1"/>
  <c r="G192" i="1" s="1"/>
  <c r="F189" i="1"/>
  <c r="F192" i="1" s="1"/>
  <c r="E18" i="4" s="1"/>
  <c r="F18" i="4" s="1"/>
  <c r="E189" i="1"/>
  <c r="A180" i="1"/>
  <c r="H178" i="1"/>
  <c r="G178" i="1"/>
  <c r="F178" i="1"/>
  <c r="E17" i="4" s="1"/>
  <c r="F17" i="4" s="1"/>
  <c r="E176" i="1"/>
  <c r="A166" i="1"/>
  <c r="H164" i="1"/>
  <c r="G164" i="1"/>
  <c r="F164" i="1"/>
  <c r="E16" i="4" s="1"/>
  <c r="F16" i="4" s="1"/>
  <c r="E162" i="1"/>
  <c r="A154" i="1"/>
  <c r="D154" i="1" s="1"/>
  <c r="E150" i="1"/>
  <c r="A144" i="1"/>
  <c r="H140" i="1"/>
  <c r="H142" i="1" s="1"/>
  <c r="G140" i="1"/>
  <c r="G142" i="1" s="1"/>
  <c r="F140" i="1"/>
  <c r="F142" i="1" s="1"/>
  <c r="E14" i="4" s="1"/>
  <c r="F14" i="4" s="1"/>
  <c r="E140" i="1"/>
  <c r="A134" i="1"/>
  <c r="H130" i="1"/>
  <c r="H132" i="1" s="1"/>
  <c r="G130" i="1"/>
  <c r="G132" i="1" s="1"/>
  <c r="F132" i="1"/>
  <c r="E13" i="4" s="1"/>
  <c r="F13" i="4" s="1"/>
  <c r="E130" i="1"/>
  <c r="A125" i="1"/>
  <c r="H121" i="1"/>
  <c r="H123" i="1" s="1"/>
  <c r="G121" i="1"/>
  <c r="G123" i="1" s="1"/>
  <c r="F123" i="1"/>
  <c r="E12" i="4" s="1"/>
  <c r="F12" i="4" s="1"/>
  <c r="E121" i="1"/>
  <c r="A113" i="1"/>
  <c r="D113" i="1" s="1"/>
  <c r="H111" i="1"/>
  <c r="G111" i="1"/>
  <c r="F111" i="1"/>
  <c r="E11" i="4" s="1"/>
  <c r="F11" i="4" s="1"/>
  <c r="E109" i="1"/>
  <c r="A104" i="1"/>
  <c r="D104" i="1" s="1"/>
  <c r="E99" i="1"/>
  <c r="A95" i="1"/>
  <c r="H91" i="1"/>
  <c r="H93" i="1" s="1"/>
  <c r="G91" i="1"/>
  <c r="G93" i="1" s="1"/>
  <c r="F91" i="1"/>
  <c r="E91" i="1"/>
  <c r="A85" i="1"/>
  <c r="E81" i="1"/>
  <c r="A74" i="1"/>
  <c r="H70" i="1"/>
  <c r="H72" i="1" s="1"/>
  <c r="G70" i="1"/>
  <c r="G72" i="1" s="1"/>
  <c r="F72" i="1"/>
  <c r="E7" i="4" s="1"/>
  <c r="E70" i="1"/>
  <c r="A65" i="1"/>
  <c r="H63" i="1"/>
  <c r="G63" i="1"/>
  <c r="F63" i="1"/>
  <c r="E6" i="4" s="1"/>
  <c r="F6" i="4" s="1"/>
  <c r="E61" i="1"/>
  <c r="D42" i="1"/>
  <c r="H40" i="1"/>
  <c r="G40" i="1"/>
  <c r="F40" i="1"/>
  <c r="E5" i="4" s="1"/>
  <c r="F5" i="4" s="1"/>
  <c r="E38" i="1"/>
  <c r="A30" i="1"/>
  <c r="H26" i="1"/>
  <c r="H28" i="1" s="1"/>
  <c r="G26" i="1"/>
  <c r="G28" i="1" s="1"/>
  <c r="F28" i="1"/>
  <c r="E4" i="4" s="1"/>
  <c r="F4" i="4" s="1"/>
  <c r="E26" i="1"/>
  <c r="A15" i="1"/>
  <c r="H11" i="1"/>
  <c r="G11" i="1"/>
  <c r="E11" i="1"/>
  <c r="A5" i="1"/>
  <c r="D5" i="1" s="1"/>
  <c r="F7" i="4" l="1"/>
  <c r="G13" i="1"/>
  <c r="F93" i="1"/>
  <c r="E9" i="4" s="1"/>
  <c r="F9" i="4" s="1"/>
  <c r="H547" i="1"/>
  <c r="G547" i="1"/>
  <c r="G642" i="1"/>
  <c r="H642" i="1"/>
  <c r="F547" i="1"/>
  <c r="E44" i="4" s="1"/>
  <c r="F44" i="4" s="1"/>
  <c r="H83" i="1"/>
  <c r="F83" i="1"/>
  <c r="E8" i="4" s="1"/>
  <c r="F8" i="4" s="1"/>
  <c r="G83" i="1"/>
  <c r="F642" i="1"/>
  <c r="E50" i="4" s="1"/>
  <c r="F50" i="4" s="1"/>
  <c r="E4" i="2"/>
  <c r="F303" i="1"/>
  <c r="E27" i="4" s="1"/>
  <c r="F27" i="4" s="1"/>
  <c r="F313" i="1"/>
  <c r="E28" i="4" s="1"/>
  <c r="F28" i="4" s="1"/>
  <c r="G313" i="1"/>
  <c r="H313" i="1"/>
  <c r="H1203" i="1"/>
  <c r="F1044" i="1"/>
  <c r="G902" i="1"/>
  <c r="H902" i="1"/>
  <c r="F1141" i="1"/>
  <c r="G1001" i="1"/>
  <c r="F13" i="1"/>
  <c r="E3" i="4" s="1"/>
  <c r="F3" i="4" s="1"/>
  <c r="H13" i="1"/>
  <c r="F1205" i="1" l="1"/>
  <c r="H738" i="1"/>
  <c r="G738" i="1"/>
  <c r="E6" i="2"/>
  <c r="F738" i="1" l="1"/>
  <c r="E7" i="2" l="1"/>
  <c r="E57" i="4"/>
  <c r="F57" i="4" s="1"/>
  <c r="H1205" i="1"/>
  <c r="G1205" i="1"/>
  <c r="F152" i="1"/>
  <c r="E5" i="2" l="1"/>
  <c r="E15" i="4"/>
  <c r="F15" i="4" s="1"/>
  <c r="H152" i="1"/>
  <c r="G152" i="1"/>
  <c r="E8" i="2"/>
  <c r="F99" i="1"/>
  <c r="F102" i="1" s="1"/>
  <c r="H99" i="1"/>
  <c r="H1207" i="1" s="1"/>
  <c r="G99" i="1"/>
  <c r="G102" i="1" s="1"/>
  <c r="E3" i="2" l="1"/>
  <c r="E9" i="2" s="1"/>
  <c r="E10" i="4"/>
  <c r="H102" i="1"/>
  <c r="G1207" i="1"/>
  <c r="G1216" i="1" s="1"/>
  <c r="F1207" i="1"/>
  <c r="F1216" i="1" s="1"/>
  <c r="H1213" i="1"/>
  <c r="H1216" i="1"/>
  <c r="F10" i="4" l="1"/>
  <c r="F63" i="4" s="1"/>
  <c r="E63" i="4"/>
  <c r="E64" i="4" s="1"/>
  <c r="E11" i="2"/>
  <c r="G1213" i="1"/>
  <c r="F1213" i="1"/>
  <c r="F4" i="2"/>
  <c r="F7" i="2"/>
  <c r="F8" i="2"/>
  <c r="F5" i="2"/>
  <c r="F6" i="2"/>
  <c r="F3" i="2"/>
  <c r="F65" i="4" l="1"/>
  <c r="F67" i="4"/>
  <c r="F9" i="2"/>
</calcChain>
</file>

<file path=xl/sharedStrings.xml><?xml version="1.0" encoding="utf-8"?>
<sst xmlns="http://schemas.openxmlformats.org/spreadsheetml/2006/main" count="1677" uniqueCount="911">
  <si>
    <t xml:space="preserve">CAPITAL AND OPERATING PROJECTS BUDGET BY WARD     </t>
  </si>
  <si>
    <t>Sum of Ward
Budget</t>
  </si>
  <si>
    <t>Yr</t>
  </si>
  <si>
    <t>Number</t>
  </si>
  <si>
    <t>Ward Number</t>
  </si>
  <si>
    <t>Capital/Operating</t>
  </si>
  <si>
    <t>Project
ID</t>
  </si>
  <si>
    <t>Project
Title</t>
  </si>
  <si>
    <t>Project ID</t>
  </si>
  <si>
    <t>Project Description</t>
  </si>
  <si>
    <t>Comments</t>
  </si>
  <si>
    <t>WARD 1</t>
  </si>
  <si>
    <t>Capital</t>
  </si>
  <si>
    <t>Capital Total</t>
  </si>
  <si>
    <t>Operating</t>
  </si>
  <si>
    <t>Ward Councillor's Discretionary Fund</t>
  </si>
  <si>
    <t>WARD 1 Total</t>
  </si>
  <si>
    <t>Total Capital &amp; Operating</t>
  </si>
  <si>
    <t>WARD 2</t>
  </si>
  <si>
    <t>WARD 2 Total</t>
  </si>
  <si>
    <t>WARD 3</t>
  </si>
  <si>
    <t>WARD 3 Total</t>
  </si>
  <si>
    <t>WARD 4</t>
  </si>
  <si>
    <t>WARD 4 Total</t>
  </si>
  <si>
    <t>WARD 5</t>
  </si>
  <si>
    <t>WARD 5 Total</t>
  </si>
  <si>
    <t>WARD 6</t>
  </si>
  <si>
    <t>WARD 6 Total</t>
  </si>
  <si>
    <t>WARD 7</t>
  </si>
  <si>
    <t>WARD 7 Total</t>
  </si>
  <si>
    <t>WARD 8 Total</t>
  </si>
  <si>
    <t>WARD 9</t>
  </si>
  <si>
    <t>WARD 9 Total</t>
  </si>
  <si>
    <t>WARD 10</t>
  </si>
  <si>
    <t>WARD 10 Total</t>
  </si>
  <si>
    <t>WARD 11</t>
  </si>
  <si>
    <t>WARD 11 Total</t>
  </si>
  <si>
    <t>WARD 12</t>
  </si>
  <si>
    <t>WARD 12 Total</t>
  </si>
  <si>
    <t>WARD 13</t>
  </si>
  <si>
    <t>WARD 13 Total</t>
  </si>
  <si>
    <t>WARD 14</t>
  </si>
  <si>
    <t xml:space="preserve">E&amp;E- Deal Party 22kV Upgrade                                                                        </t>
  </si>
  <si>
    <t>WARD 14 Total</t>
  </si>
  <si>
    <t>WARD 15 Total</t>
  </si>
  <si>
    <t>WARD 16</t>
  </si>
  <si>
    <t>WARD 16 Total</t>
  </si>
  <si>
    <t>WARD 17</t>
  </si>
  <si>
    <t>WARD 17 Total</t>
  </si>
  <si>
    <t>WARD 18</t>
  </si>
  <si>
    <t>WARD 18 Total</t>
  </si>
  <si>
    <t>WARD 19 Total</t>
  </si>
  <si>
    <t>WARD 20</t>
  </si>
  <si>
    <t>WARD 20 Total</t>
  </si>
  <si>
    <t>WARD 21</t>
  </si>
  <si>
    <t>WARD 21 Total</t>
  </si>
  <si>
    <t>WARD 22</t>
  </si>
  <si>
    <t>WARD 22 Total</t>
  </si>
  <si>
    <t>WARD 23</t>
  </si>
  <si>
    <t>WARD 23 Total</t>
  </si>
  <si>
    <t>WARD 24</t>
  </si>
  <si>
    <t>WARD 24 Total</t>
  </si>
  <si>
    <t>WARD 25</t>
  </si>
  <si>
    <t>WARD 25 Total</t>
  </si>
  <si>
    <t>WARD 26 Total</t>
  </si>
  <si>
    <t>WARD 27</t>
  </si>
  <si>
    <t>WARD 27 Total</t>
  </si>
  <si>
    <t>WARD 28 Total</t>
  </si>
  <si>
    <t>WARD 29</t>
  </si>
  <si>
    <t>WARD 29 Total</t>
  </si>
  <si>
    <t>WARD 30</t>
  </si>
  <si>
    <t>WARD 30 Total</t>
  </si>
  <si>
    <t>WARD 31</t>
  </si>
  <si>
    <t>WARD 31 Total</t>
  </si>
  <si>
    <t>WARD 32</t>
  </si>
  <si>
    <t>WARD 32 Total</t>
  </si>
  <si>
    <t>WARD 33</t>
  </si>
  <si>
    <t>WARD 33 Total</t>
  </si>
  <si>
    <t>WARD 34</t>
  </si>
  <si>
    <t>WARD 34 Total</t>
  </si>
  <si>
    <t>WARD 35</t>
  </si>
  <si>
    <t>WARD 35 Total</t>
  </si>
  <si>
    <t>WARD 36</t>
  </si>
  <si>
    <t>WARD 36 Total</t>
  </si>
  <si>
    <t>WARD 37</t>
  </si>
  <si>
    <t>WARD 37 Total</t>
  </si>
  <si>
    <t>WARD 38</t>
  </si>
  <si>
    <t>WARD 38 Total</t>
  </si>
  <si>
    <t>WARD 39</t>
  </si>
  <si>
    <t>WARD 39 Total</t>
  </si>
  <si>
    <t>WARD 40</t>
  </si>
  <si>
    <t>WARD 40 Total</t>
  </si>
  <si>
    <t>WARD 41</t>
  </si>
  <si>
    <t>WARD 41 Total</t>
  </si>
  <si>
    <t>WARD 42</t>
  </si>
  <si>
    <t>WARD 42 Total</t>
  </si>
  <si>
    <t>WARD 43</t>
  </si>
  <si>
    <t>WARD 43 Total</t>
  </si>
  <si>
    <t>WARD 44</t>
  </si>
  <si>
    <t>WARD 44 Total</t>
  </si>
  <si>
    <t>WARD 45</t>
  </si>
  <si>
    <t>WARD 45 Total</t>
  </si>
  <si>
    <t>WARD 46</t>
  </si>
  <si>
    <t>WARD 46 Total</t>
  </si>
  <si>
    <t>WARD 47</t>
  </si>
  <si>
    <t>WARD 47 Total</t>
  </si>
  <si>
    <t>WARD 48</t>
  </si>
  <si>
    <t>WARD 48 Total</t>
  </si>
  <si>
    <t>WARD 49</t>
  </si>
  <si>
    <t>WARD 49 Total</t>
  </si>
  <si>
    <t>WARD 50 Total</t>
  </si>
  <si>
    <t>WARD 51</t>
  </si>
  <si>
    <t>WARD 51 Total</t>
  </si>
  <si>
    <t>WARD 52</t>
  </si>
  <si>
    <t>WARD 52 Total</t>
  </si>
  <si>
    <t>WARD 53</t>
  </si>
  <si>
    <t>WARD 53 Total</t>
  </si>
  <si>
    <t>WARD 54</t>
  </si>
  <si>
    <t>WARD 54 Total</t>
  </si>
  <si>
    <t>WARD 55</t>
  </si>
  <si>
    <t>WARD 55 Total</t>
  </si>
  <si>
    <t>WARD 56</t>
  </si>
  <si>
    <t>WARD 56 Total</t>
  </si>
  <si>
    <t>WARD 57</t>
  </si>
  <si>
    <t>WARD 57 Total</t>
  </si>
  <si>
    <t>WARD 58</t>
  </si>
  <si>
    <t>WARD 58 Total</t>
  </si>
  <si>
    <t>WARD 59</t>
  </si>
  <si>
    <t>WARD 59 Total</t>
  </si>
  <si>
    <t>WARD 60</t>
  </si>
  <si>
    <t>WARD 60 Total</t>
  </si>
  <si>
    <t>WARD 990</t>
  </si>
  <si>
    <t>WARD 991</t>
  </si>
  <si>
    <t>WARD 992</t>
  </si>
  <si>
    <t>WARD 993</t>
  </si>
  <si>
    <t xml:space="preserve">Air Pollution Monitoring Equipment                                                                  </t>
  </si>
  <si>
    <t>WARD 994</t>
  </si>
  <si>
    <t>WARD 995</t>
  </si>
  <si>
    <t>WARD 996</t>
  </si>
  <si>
    <t>WARD 997</t>
  </si>
  <si>
    <t>WARD 998</t>
  </si>
  <si>
    <t>WARD 999</t>
  </si>
  <si>
    <t xml:space="preserve">Sidewalk: Mbilini Street                                                                            </t>
  </si>
  <si>
    <t>Grand Total</t>
  </si>
  <si>
    <t>Total Support Services</t>
  </si>
  <si>
    <t>Total Capital (All Wards Including Support Services)</t>
  </si>
  <si>
    <t>Total Capital &amp; Operating (All Wards)</t>
  </si>
  <si>
    <t>Check Totals</t>
  </si>
  <si>
    <t>Differences (Due to system roundings)</t>
  </si>
  <si>
    <t>Ward 999 (Continued)</t>
  </si>
  <si>
    <t>Ward 996 (Continued)</t>
  </si>
  <si>
    <t>Ward 993 (Continued)</t>
  </si>
  <si>
    <t>WARD 26</t>
  </si>
  <si>
    <t>Rectification</t>
  </si>
  <si>
    <t>CLUSTER ALLOCATION SUMMARY</t>
  </si>
  <si>
    <t>CLUSTER NAME</t>
  </si>
  <si>
    <t>SPECIFIC WARDS</t>
  </si>
  <si>
    <t>TOTAL NUMBER OF WARDS</t>
  </si>
  <si>
    <t xml:space="preserve">%NTAGE vs. TOTAL ALLOCATION </t>
  </si>
  <si>
    <t>Molly Blackburn</t>
  </si>
  <si>
    <t>1,2,3,4,5,6,7,8,9,12,39, and 40</t>
  </si>
  <si>
    <t>Govan Mbeki</t>
  </si>
  <si>
    <t>14,15,16,17,18,19,20,21 and 22</t>
  </si>
  <si>
    <t>Lillian Diedericks</t>
  </si>
  <si>
    <t>10,11,13,29,31,32,34,35,37 and 38</t>
  </si>
  <si>
    <t>Champion Galela</t>
  </si>
  <si>
    <t>24,25,26,27,28,30,33,36 and 41</t>
  </si>
  <si>
    <t>Alex Matikinca</t>
  </si>
  <si>
    <t>23,53,54,55,56,57,58,59 and 60</t>
  </si>
  <si>
    <t>Zola Nqini</t>
  </si>
  <si>
    <t>42,43,44,45,46,47,48,49,50,51 and 52</t>
  </si>
  <si>
    <t>TOTAL ALLOCATED TO WARDS</t>
  </si>
  <si>
    <t>Ward Discretionary Fund</t>
  </si>
  <si>
    <t>Top Structures</t>
  </si>
  <si>
    <t>Total Operating</t>
  </si>
  <si>
    <t xml:space="preserve">Beach Development - Summerstrand                                                                    </t>
  </si>
  <si>
    <t xml:space="preserve">Sardinia Bay Road Sidewalk – Ward 1                                                                 </t>
  </si>
  <si>
    <t xml:space="preserve">Undeclared Informal Electrification                                                                 </t>
  </si>
  <si>
    <t xml:space="preserve">Public Lighting - Retro fit                                                                         </t>
  </si>
  <si>
    <t xml:space="preserve">Water Services: Rehabilitation of Dams                                                              </t>
  </si>
  <si>
    <t xml:space="preserve">Groundwater :Drought :Drilling &amp; Equipping of Boreholes                                             </t>
  </si>
  <si>
    <t xml:space="preserve">1412: Rehabilitation of Loerie Water Treatment Works                                                </t>
  </si>
  <si>
    <t xml:space="preserve">Connections and Water Meters                                                                        </t>
  </si>
  <si>
    <t xml:space="preserve">Water Services: Purchase of New Vehicles                                                            </t>
  </si>
  <si>
    <t xml:space="preserve">Water Services: Rehabilitation of Water Pump Stations                                               </t>
  </si>
  <si>
    <t xml:space="preserve">Water Services: Bulk Water Metering + Control                                                       </t>
  </si>
  <si>
    <t xml:space="preserve">Water Services: Upgrading of Churchill Water Treatment Works                                        </t>
  </si>
  <si>
    <t xml:space="preserve">Water Services: Installation of Zone Water Meters                                                   </t>
  </si>
  <si>
    <t xml:space="preserve">Water Services: Purchase of Telemetry Equipment                                                     </t>
  </si>
  <si>
    <t xml:space="preserve">Water Services: Upgrading Groendal Water Treatment Works                                            </t>
  </si>
  <si>
    <t xml:space="preserve">Water: Installation of Standpipes and Associated Water Meter                                        </t>
  </si>
  <si>
    <t xml:space="preserve">Water: Purchase and Installation of Water Meters                                                    </t>
  </si>
  <si>
    <t xml:space="preserve">Water: Purchase of Computer Equipment                                                               </t>
  </si>
  <si>
    <t xml:space="preserve">Water: Purchase of Furniture &amp; Office Equipment.                                                    </t>
  </si>
  <si>
    <t xml:space="preserve">Upgrade of Linton Grange WTW                                                                        </t>
  </si>
  <si>
    <t xml:space="preserve">Renewal of Elandsjagt Water Treatment Works                                                         </t>
  </si>
  <si>
    <t xml:space="preserve">RBIG: Construction of Motherwell to Bethelsdorp Pipeline                                            </t>
  </si>
  <si>
    <t xml:space="preserve">RBIG: Borehole Exploration &amp; Development                                                            </t>
  </si>
  <si>
    <t xml:space="preserve">Water Services: Rehabilitation of Nooitgedagt WTW                                                   </t>
  </si>
  <si>
    <t xml:space="preserve">Water: Purchase of Small Plant &amp; Equipment                                                          </t>
  </si>
  <si>
    <t xml:space="preserve">Water: Purchase + Install Advanced Meter Infrastructure                                             </t>
  </si>
  <si>
    <t xml:space="preserve">Scientific Services: Purchase of Instrumentation for Water Analysis                                 </t>
  </si>
  <si>
    <t xml:space="preserve">Water: Construction of Greenbushes Pipeline                                                         </t>
  </si>
  <si>
    <t xml:space="preserve">Renewal of Bulk Water Pipelines                                                                     </t>
  </si>
  <si>
    <t xml:space="preserve">Water: Rehabilitation of Reservoirs- Bulk                                                           </t>
  </si>
  <si>
    <t xml:space="preserve">Water: Rehabilitation of Reservoirs - Distribution                                                  </t>
  </si>
  <si>
    <t xml:space="preserve">Scientific Services: Renovations and Upgrade to Laboratory Premises                                 </t>
  </si>
  <si>
    <t xml:space="preserve">Water: Older Dams' Bulk Pipelines Augmentation                                                      </t>
  </si>
  <si>
    <t>Water: Site Security and preparation including fencing of proposed Future Desalination Plant at Scho</t>
  </si>
  <si>
    <t xml:space="preserve">Water: Gelvandale Reservoir Upgrade                                                                 </t>
  </si>
  <si>
    <t xml:space="preserve">Water: Chelsea Reservoir Upgrade                                                                    </t>
  </si>
  <si>
    <t xml:space="preserve">Water: Struandale Pump Station Upgrade                                                              </t>
  </si>
  <si>
    <t xml:space="preserve">Water Services: Rehabilitation of Rocklands WTW                                                     </t>
  </si>
  <si>
    <t xml:space="preserve">Water Services: Rehabilitation of Wellfields                                                        </t>
  </si>
  <si>
    <t xml:space="preserve">Water: Chelsea to FM Tower Gravity Main                                                             </t>
  </si>
  <si>
    <t xml:space="preserve">Water: Cape Recife RE Water Pipeline                                                                </t>
  </si>
  <si>
    <t xml:space="preserve">Water: Kelvin Jones RE Water Pipelines                                                              </t>
  </si>
  <si>
    <t xml:space="preserve">Water Bulk Services for Seaview Development                                                         </t>
  </si>
  <si>
    <t xml:space="preserve">Happy Valley - Upgrade of Infrastructure                                                            </t>
  </si>
  <si>
    <t xml:space="preserve">Upgrade and Development of Forest Hill Cemetery                                                     </t>
  </si>
  <si>
    <t xml:space="preserve">Reinforcement of Electricity Network- Mount Road                                                    </t>
  </si>
  <si>
    <t xml:space="preserve">Walmer - Summerstrand 132kV Powerline upgrade                                                       </t>
  </si>
  <si>
    <t xml:space="preserve">Upgrade of Major Parks: St. Georges Park                                                            </t>
  </si>
  <si>
    <t xml:space="preserve">Reinforcement of Electricity Network- South                                                         </t>
  </si>
  <si>
    <t xml:space="preserve">Construction of new greenhouses at Peter Gibbs Nursery                                              </t>
  </si>
  <si>
    <t xml:space="preserve">Walmer Airport Valley (Area B&amp;C) - Roadworks (HS)                                                   </t>
  </si>
  <si>
    <t xml:space="preserve">Walmer Airport Valley (Area B&amp;C) - Stormwater Reticulation                                          </t>
  </si>
  <si>
    <t xml:space="preserve">Walmer Airport Valley (Area B&amp;C) - Water Reticulation (HS)                                          </t>
  </si>
  <si>
    <t xml:space="preserve">Walmer Airport Valley (Area B&amp;C) - Sewer Reticulation (HS)                                          </t>
  </si>
  <si>
    <t xml:space="preserve">Walmer Erf 11305 - Roadworks (HS)                                                                   </t>
  </si>
  <si>
    <t xml:space="preserve">Walmer Erf 11305 - Stormwater Reticulation (HS)                                                     </t>
  </si>
  <si>
    <t xml:space="preserve">Walmer Erf 11305 - Water Reticulation (HS)                                                          </t>
  </si>
  <si>
    <t xml:space="preserve">Walmer Erf 11305 - Sewer Reticulation (HS)                                                          </t>
  </si>
  <si>
    <t xml:space="preserve">2027 ISUP-construction of roads- walmer airport valley ward 4                                       </t>
  </si>
  <si>
    <t xml:space="preserve">2028 ISUP-construction of roads- walmer ward 4                                                      </t>
  </si>
  <si>
    <t xml:space="preserve">Upgrade of ST Georges pool                                                                          </t>
  </si>
  <si>
    <t xml:space="preserve">Fencing of North End Cemetary                                                                       </t>
  </si>
  <si>
    <t xml:space="preserve">Upgrading of Ablution Facility - Peter Gibbs Nursery                                                </t>
  </si>
  <si>
    <t xml:space="preserve">Rehabilitation of William Moffet Expressway                                                         </t>
  </si>
  <si>
    <t xml:space="preserve">Upgrade and Development of public open spaces - Fernglen                                            </t>
  </si>
  <si>
    <t xml:space="preserve">Reinforcement of Electricity Network- Newton Park                                                   </t>
  </si>
  <si>
    <t xml:space="preserve">Upgrade and Development of Public Open Spaces - Richter Park                                        </t>
  </si>
  <si>
    <t xml:space="preserve">Reinforcement of Electricity Network- Western                                                       </t>
  </si>
  <si>
    <t xml:space="preserve">Reinforcement of Electricity Network- Korsten                                                       </t>
  </si>
  <si>
    <t xml:space="preserve">Perl Road Substation - Installation of 3rd Transformer                                              </t>
  </si>
  <si>
    <t xml:space="preserve">Upgrade and Development of Public Open Spaces St Lilia Park                                         </t>
  </si>
  <si>
    <t xml:space="preserve">Rehabilitation of Red Location Precinct  (Phase 3) - Museum	                                        </t>
  </si>
  <si>
    <t xml:space="preserve">Tarring of Avenue B (ward 15)                                                                       </t>
  </si>
  <si>
    <t xml:space="preserve">Upgrade Main Road through Swartkops                                                                 </t>
  </si>
  <si>
    <t xml:space="preserve">Stormwater Improvements - Msimka Street, ward 17 - Phase 3                                          </t>
  </si>
  <si>
    <t xml:space="preserve">Tarring of Pendla Lane (ward 17)                                                                    </t>
  </si>
  <si>
    <t xml:space="preserve">Nkatha/Seyisi - Sewer Reticulation                                                                  </t>
  </si>
  <si>
    <t xml:space="preserve">New Brighton/ Kwazakhele: Bulk Stormwater Phase 1                                                   </t>
  </si>
  <si>
    <t xml:space="preserve">Tarring of Liyong Street (Ward 24)                                                                  </t>
  </si>
  <si>
    <t xml:space="preserve">Upgrade and Development of Public Open Spaces-Jacaranda Park                                        </t>
  </si>
  <si>
    <t xml:space="preserve">Zwide Bulk Stormwater                                                                               </t>
  </si>
  <si>
    <t xml:space="preserve">upgrade and development of public open spaces - Qeqe                                                </t>
  </si>
  <si>
    <t xml:space="preserve">Jachtvlakte HS 8 (Chatty 11-14)  Roadworks (HS)                                                     </t>
  </si>
  <si>
    <t xml:space="preserve">Jachtvlakte HS 8 (Chatty 11-14)  Stormwater Reticulation                                            </t>
  </si>
  <si>
    <t xml:space="preserve">Jachtvlakte HS 8 (Chatty 11-14)  Water Reticulation (HS)                                            </t>
  </si>
  <si>
    <t xml:space="preserve">Jachtvlakte HS 8 (Chatty 11-14)  Sewer Reticulation (HS)                                            </t>
  </si>
  <si>
    <t xml:space="preserve">Jagvlagte HS5  Roadworks ( Human Settlements)                                                       </t>
  </si>
  <si>
    <t xml:space="preserve">Jagvlagte HS5  Stormwater Reticulation (Human Settlements)                                          </t>
  </si>
  <si>
    <t xml:space="preserve">Jagvlagte HS5  Water Reticulation (Human Settlements)                                               </t>
  </si>
  <si>
    <t xml:space="preserve">Jagvlagte HS5  Sewer Reticulation (Human Settlements)                                               </t>
  </si>
  <si>
    <t xml:space="preserve">Rehabilitation &amp; Restoration of Kwamagxaki Library                                                  </t>
  </si>
  <si>
    <t xml:space="preserve">BEP: Supply and install communal ablutions                                                          </t>
  </si>
  <si>
    <t xml:space="preserve">Lorraine-Bulk Sewer Augmentation                                                                    </t>
  </si>
  <si>
    <t xml:space="preserve">Fishwater Flats WWTW Grit &amp; Sludge Treatment Facility                                               </t>
  </si>
  <si>
    <t xml:space="preserve">Fitzpatrick New Sewerage Pump Station                                                               </t>
  </si>
  <si>
    <t xml:space="preserve">Sanitation: Upgrading of Despatch Reclamation Works                                                 </t>
  </si>
  <si>
    <t xml:space="preserve">Sanitation: Upgrading of Kelvin Jones WWTW                                                          </t>
  </si>
  <si>
    <t xml:space="preserve">Sanitation: Upgrade of Rocklands WWTW                                                               </t>
  </si>
  <si>
    <t xml:space="preserve">Sanitation: Jagtvlakte Bulk Sewer                                                                   </t>
  </si>
  <si>
    <t xml:space="preserve">Sanitation Services: Seaview Bullk Sewerage                                                         </t>
  </si>
  <si>
    <t xml:space="preserve">Sanitation:Kwazakhele Collector Sewer Augmentation: Phase 3                                         </t>
  </si>
  <si>
    <t xml:space="preserve">Sanitation: Sampling Station Equipment                                                              </t>
  </si>
  <si>
    <t xml:space="preserve">Sanitation Services: Upgrading of Fishwater Flats WWTW                                              </t>
  </si>
  <si>
    <t xml:space="preserve">Construction of Florida Heights Bulk Sewer                                                          </t>
  </si>
  <si>
    <t xml:space="preserve">Upgrade of Melbrooks Bulk Sewer                                                                     </t>
  </si>
  <si>
    <t xml:space="preserve">Sanitation: Construction of Communal Ablution Facilities                                            </t>
  </si>
  <si>
    <t xml:space="preserve">Motherwell-Brickfields Sewer Siphon Upgrade                                                         </t>
  </si>
  <si>
    <t xml:space="preserve">Bulk Sewers: Joe Slovo, Mandelaville &amp; Allenridge West UIT -                                        </t>
  </si>
  <si>
    <t xml:space="preserve">Paapenkuil Main Sewer Augmentation                                                                  </t>
  </si>
  <si>
    <t xml:space="preserve">Driftsands Collector Sewer Augmentation - Phase 3                                                   </t>
  </si>
  <si>
    <t xml:space="preserve">Hydraulic Upgrading of Kelvin Jones WWTW                                                            </t>
  </si>
  <si>
    <t xml:space="preserve">Sanitation Services: Rehabilitation of Kwanobuhle WWTW                                              </t>
  </si>
  <si>
    <t xml:space="preserve">Renew Mechanical &amp; Electrical Equipment - Driftsands WWTW                                           </t>
  </si>
  <si>
    <t xml:space="preserve">Renew Mechanical &amp; Electrical Equipment -Cape Recife WWTW                                           </t>
  </si>
  <si>
    <t xml:space="preserve">Renew Mechanical &amp; Electrical Equipment-Kelvin Jones WWTW                                           </t>
  </si>
  <si>
    <t xml:space="preserve">Renew Mechanical &amp; Electrical Equipment of FWF WWTW                                                 </t>
  </si>
  <si>
    <t xml:space="preserve">Renewal of Mechanical &amp; Electrical Equipment - Despatch Reclamation Works                           </t>
  </si>
  <si>
    <t xml:space="preserve">Renew Mechanical &amp; Electrical Equipment-Kwanobuhle WWTW                                             </t>
  </si>
  <si>
    <t xml:space="preserve">Upgrading of Driftsands WWTW                                                                        </t>
  </si>
  <si>
    <t xml:space="preserve">Sanitation: Renewal of Swartkops Screw Pump Station                                                 </t>
  </si>
  <si>
    <t xml:space="preserve">Sanitation: Purchase of Telemetry/ SCADA System                                                     </t>
  </si>
  <si>
    <t xml:space="preserve">Sanitation: Purchase of Furniture &amp; Office Equipment                                                </t>
  </si>
  <si>
    <t xml:space="preserve">Sanitation: Collector Sewer Walmer Heights &amp; Mount Pleasant - Phases 2 &amp; 3                          </t>
  </si>
  <si>
    <t xml:space="preserve">Renewal of Sewerage Pipelines &amp; Infrastructue - North                                               </t>
  </si>
  <si>
    <t xml:space="preserve">Renewal of Sewerage Pipelines &amp; Infrastructure - South                                              </t>
  </si>
  <si>
    <t xml:space="preserve">Sanitation: Office Accommodation Upgrades at Depots                                                 </t>
  </si>
  <si>
    <t xml:space="preserve">Metro Police: Purchase of Furniture and Office Equipment                                            </t>
  </si>
  <si>
    <t xml:space="preserve">Purchase of Firefighting Vehicle - Rescue Pump                                                      </t>
  </si>
  <si>
    <t xml:space="preserve">Metro Police: Purchase of Firearms                                                                  </t>
  </si>
  <si>
    <t xml:space="preserve">Upgrade of Commercial Meters - Remote Metering                                                      </t>
  </si>
  <si>
    <t xml:space="preserve">Smart Pre-Payment Meters                                                                            </t>
  </si>
  <si>
    <t xml:space="preserve">Small Plant &amp; Equipment                                                                             </t>
  </si>
  <si>
    <t xml:space="preserve">Purchase of Computer Equipment - Traffic                                                            </t>
  </si>
  <si>
    <t xml:space="preserve">Purchase of Computer Equipment - Fire &amp; Emergency                                                   </t>
  </si>
  <si>
    <t xml:space="preserve">Purchase of Computer Equipment - Disaster Management                                                </t>
  </si>
  <si>
    <t xml:space="preserve">Purchase of Computer Equipment - Security Services                                                  </t>
  </si>
  <si>
    <t xml:space="preserve">Purchase of Computer Equipment - Metro Police                                                       </t>
  </si>
  <si>
    <t xml:space="preserve">Purchase of Hydraulic Platform for Fire &amp; Emergency Services                                        </t>
  </si>
  <si>
    <t xml:space="preserve">Purchase of Radios for Safety and Security Directorate                                              </t>
  </si>
  <si>
    <t xml:space="preserve">Fire: Purchase of Fire Appliance/ Engine                                                            </t>
  </si>
  <si>
    <t xml:space="preserve">Specialised Medical Equipment                                                                       </t>
  </si>
  <si>
    <t xml:space="preserve">Traffic Control Equpment                                                                            </t>
  </si>
  <si>
    <t xml:space="preserve">Purchase of Furniture for Traffic &amp; Licensing                                                       </t>
  </si>
  <si>
    <t xml:space="preserve">Supervisory Control - Equipment Upgrade                                                             </t>
  </si>
  <si>
    <t xml:space="preserve">Replacement of Old Laptops and Desktop PC's                                                         </t>
  </si>
  <si>
    <t xml:space="preserve">Purchase of Server for South End Fire Station                                                       </t>
  </si>
  <si>
    <t xml:space="preserve">Roads: Purchase of Computer Equipment                                                               </t>
  </si>
  <si>
    <t xml:space="preserve">PH: Purchase of Computer Equipment                                                                  </t>
  </si>
  <si>
    <t xml:space="preserve">PH: Purchase of Office Furniture                                                                    </t>
  </si>
  <si>
    <t xml:space="preserve">PH: Purchase of Plant and Equipment                                                                 </t>
  </si>
  <si>
    <t xml:space="preserve">Sanitation: Purchase of Computer Equipment                                                          </t>
  </si>
  <si>
    <t xml:space="preserve">Purchase of Computer Equipment                                                                      </t>
  </si>
  <si>
    <t xml:space="preserve">Woolboard Council Chamber: Recording system and microphones                                         </t>
  </si>
  <si>
    <t xml:space="preserve">Procure &amp; Install CCTV System at Sidwell Traffic Department                                         </t>
  </si>
  <si>
    <t xml:space="preserve">Procure &amp; Install CCTV System at Uitenhage Traffic Departmen                                        </t>
  </si>
  <si>
    <t xml:space="preserve">Procure &amp; Install CCTV System at Korsten Traffic Department                                         </t>
  </si>
  <si>
    <t xml:space="preserve">Procure &amp; Install CCTV System at Traffic College                                                    </t>
  </si>
  <si>
    <t xml:space="preserve">Security Purchase of Law Enforcement Equipment                                                      </t>
  </si>
  <si>
    <t xml:space="preserve">Security Purchase of Firearms                                                                       </t>
  </si>
  <si>
    <t xml:space="preserve">Metro Police Purchase of Law Enforcement Equipment                                                  </t>
  </si>
  <si>
    <t xml:space="preserve">Traffic: Purchase of Firearms                                                                       </t>
  </si>
  <si>
    <t xml:space="preserve">Security: Purchase of Furniture &amp; Office Equipment                                                  </t>
  </si>
  <si>
    <t xml:space="preserve">Traffic: Purchase &amp; Install Law Enforcement Equipment                                               </t>
  </si>
  <si>
    <t xml:space="preserve">Security: Purchase &amp; install camera for surveillance vehicle                                        </t>
  </si>
  <si>
    <t xml:space="preserve">Traffic: Purchase of roadblock trailer with signage                                                 </t>
  </si>
  <si>
    <t xml:space="preserve">Purchase of ICT infrastructure and equipment                                                        </t>
  </si>
  <si>
    <t xml:space="preserve">Purchase Of Tools And Equipment                                                                     </t>
  </si>
  <si>
    <t xml:space="preserve">Replacement of Revenue Sub-Directorate Computer Equipment                                           </t>
  </si>
  <si>
    <t xml:space="preserve">Replacement of Air-Conditioning Units:Customer Care Centres                                         </t>
  </si>
  <si>
    <t xml:space="preserve">Roads - Office Furniture                                                                            </t>
  </si>
  <si>
    <t xml:space="preserve">Traffic: Purchase of Small Plant &amp; Equipment for Roadworthy                                         </t>
  </si>
  <si>
    <t xml:space="preserve">Traffic College: Purchase of Gym Equipment                                                          </t>
  </si>
  <si>
    <t xml:space="preserve">Traffic: Purchase of Roadworthy Equipment for Sidwell Traffic Department                            </t>
  </si>
  <si>
    <t xml:space="preserve">Traffic College: Purchase of Roadblock Trailer with Signage                                         </t>
  </si>
  <si>
    <t xml:space="preserve">Acquisition of Land Survey Equipment                                                                </t>
  </si>
  <si>
    <t xml:space="preserve">New Weigh Bridge at Sidwell Traffic Department                                                      </t>
  </si>
  <si>
    <t xml:space="preserve">Security: Purchase of Furniture &amp; Office Equipment - Confisc                                        </t>
  </si>
  <si>
    <t xml:space="preserve">Purchase of aquatic emergency equipment                                                             </t>
  </si>
  <si>
    <t xml:space="preserve">Purchase of computer equipment for libraries                                                        </t>
  </si>
  <si>
    <t xml:space="preserve">Purchase of lifeguard towers                                                                        </t>
  </si>
  <si>
    <t xml:space="preserve">Replace Munelek Server and Storage infrastructure                                                   </t>
  </si>
  <si>
    <t xml:space="preserve">Purchase of Filing Cabinets for Customer Care Archiving                                             </t>
  </si>
  <si>
    <t xml:space="preserve">Replacement of Handheld Devices - Meter Reading                                                     </t>
  </si>
  <si>
    <t xml:space="preserve">Purchase of Conferencing Equipment (Housing Delivery)                                               </t>
  </si>
  <si>
    <t xml:space="preserve">Traffic: Purchase of Computer &amp; Network Equipment for New Store at Sidwell Traffic Centre           </t>
  </si>
  <si>
    <t xml:space="preserve">Traffic: Purchase of Furniture &amp; Office Equipment for New Store at Sidwell Traffic Centre           </t>
  </si>
  <si>
    <t xml:space="preserve">Purchase of Plant and Equipment for Fire- Technical                                                 </t>
  </si>
  <si>
    <t xml:space="preserve">Purchase of Computer Equipment for Control Centre at South End Fire Station                         </t>
  </si>
  <si>
    <t xml:space="preserve">Metro Police: Purchase and Installation of Safes                                                    </t>
  </si>
  <si>
    <t xml:space="preserve">Metro Police: Purchase and Installation of CCTV &amp; Alarm Systems                                     </t>
  </si>
  <si>
    <t xml:space="preserve">Purchase of Furniture for Legal Process and Municipal Court                                         </t>
  </si>
  <si>
    <t xml:space="preserve">Purchase of Office Equipment - Building Inspectorate Division                                       </t>
  </si>
  <si>
    <t xml:space="preserve">Purchase of Computer Equipment - Building Inspectorate Division                                     </t>
  </si>
  <si>
    <t xml:space="preserve">Installation of Wireless,Networking and High Masts                                                  </t>
  </si>
  <si>
    <t xml:space="preserve">Purchase of Kitchen Equipment at Uitenhage Community Halls                                          </t>
  </si>
  <si>
    <t xml:space="preserve">Mendi Arts Centre: Purchase of large digital screen                                                 </t>
  </si>
  <si>
    <t xml:space="preserve">City Hall Auditorium Upgrading - Installation of standby water pump.                                </t>
  </si>
  <si>
    <t xml:space="preserve">City Hall Auditorium - Installation of overhead projector                                           </t>
  </si>
  <si>
    <t xml:space="preserve">Purchase of Furniture for Halls &amp; Conference centres                                                </t>
  </si>
  <si>
    <t xml:space="preserve">Walmer Training Centre New Offices - Purchase of Furniture                                          </t>
  </si>
  <si>
    <t xml:space="preserve">Purchase of furniture for Facilities Management Offices and kitchen - 4th Floor Lillian Diedericks  </t>
  </si>
  <si>
    <t xml:space="preserve">Purchase of new PA System at Nangoza Jebe Hall                                                      </t>
  </si>
  <si>
    <t xml:space="preserve">Purchase of Furniture for Skills Development office                                                 </t>
  </si>
  <si>
    <t>City Hall - Installation of Water treatment auto dosing system for the Aircon Chiller Plant (Open sy</t>
  </si>
  <si>
    <t xml:space="preserve">Fidelity Building - Installation of Water treatment auto dosing system for the Aircon Chiller Plant </t>
  </si>
  <si>
    <t>Noninzi Luzipho - Installation of Water treatment auto dosing system for the Aircon Chiller Plant (C</t>
  </si>
  <si>
    <t>Mfanasekhaya Gqobose Building - Installation of Water treatment auto dosing system for the Aircon Ch</t>
  </si>
  <si>
    <t xml:space="preserve">Harrower RD Depot - Purchase of Overhead projector with screen Facilities                           </t>
  </si>
  <si>
    <t xml:space="preserve">Installation of CCTV Equipment : Creditors Section                                                  </t>
  </si>
  <si>
    <t xml:space="preserve">Installation of Alarm system - Creditors Section                                                    </t>
  </si>
  <si>
    <t xml:space="preserve">Replacement of Old Laptop and Desktops : Creditors Section                                          </t>
  </si>
  <si>
    <t xml:space="preserve">Office Furniture - Budget &amp; Treasury                                                                </t>
  </si>
  <si>
    <t xml:space="preserve">IPTS - Automated Fare Collection (AFC) System                                                       </t>
  </si>
  <si>
    <t xml:space="preserve">IPTS - OMS APTMS Lite - Phase 2                                                                     </t>
  </si>
  <si>
    <t xml:space="preserve">Upgrading of  NMBM Legacy System - mSCOA                                                            </t>
  </si>
  <si>
    <t xml:space="preserve">Municipal Health System                                                                             </t>
  </si>
  <si>
    <t xml:space="preserve">S&amp;S: Purchase of Vehicles for Metro Police                                                          </t>
  </si>
  <si>
    <t xml:space="preserve">Purchase of Off-Road Vehicles for Fire &amp; Emergency Services                                         </t>
  </si>
  <si>
    <t xml:space="preserve">Purchase of Vehicles for Sanitation Services                                                        </t>
  </si>
  <si>
    <t xml:space="preserve">Procurement of Specialised Vehicles - Public Health                                                 </t>
  </si>
  <si>
    <t xml:space="preserve">PH - Replacement of Refuse Compactors                                                               </t>
  </si>
  <si>
    <t xml:space="preserve">Replacement vehicle fleet-Automotive Transport                                                      </t>
  </si>
  <si>
    <t xml:space="preserve">Roads-New /Replacement Vehicle fleet                                                                </t>
  </si>
  <si>
    <t xml:space="preserve">New/Replacement of Plant and Motor Vehicles                                                         </t>
  </si>
  <si>
    <t xml:space="preserve">IPTS-Bus Rapid Transit                                                                              </t>
  </si>
  <si>
    <t xml:space="preserve">Sanitation: Purchase of Small Plant &amp; Equipment                                                     </t>
  </si>
  <si>
    <t xml:space="preserve">Traffic: Purchase of Tow Trucks                                                                     </t>
  </si>
  <si>
    <t xml:space="preserve">Non-Specialised Vehicles - Public Health                                                            </t>
  </si>
  <si>
    <t xml:space="preserve">IPTS - Refurbishment of Busses                                                                      </t>
  </si>
  <si>
    <t xml:space="preserve">Acquisition of Motor Vehicle for Customer Care                                                      </t>
  </si>
  <si>
    <t xml:space="preserve">Traffic: Purchase of Vehicles for Support Services                                                  </t>
  </si>
  <si>
    <t xml:space="preserve">Traffic: Purchase of Vehicles for Traffic College                                                   </t>
  </si>
  <si>
    <t xml:space="preserve">Traffic: Purchase of Vehicles for Law Enforcement                                                   </t>
  </si>
  <si>
    <t xml:space="preserve">Metro Police: Purchase of armoured personnel carrier vehicle                                        </t>
  </si>
  <si>
    <t xml:space="preserve">Security: Purchase of Vehicles                                                                      </t>
  </si>
  <si>
    <t xml:space="preserve">Fire: Purchase of Light Response Vehicles                                                           </t>
  </si>
  <si>
    <t xml:space="preserve">Purchase of Vehicles - Disaster Management                                                          </t>
  </si>
  <si>
    <t xml:space="preserve">Traffic: Purchase of Vehicles for Licensing                                                         </t>
  </si>
  <si>
    <t xml:space="preserve">Purchase of vehicle for operations and maintenance x5                                               </t>
  </si>
  <si>
    <t xml:space="preserve">Purchase of vehicle (Housing Delivery)                                                              </t>
  </si>
  <si>
    <t xml:space="preserve">Purchase of vehicle (Administration)                                                                </t>
  </si>
  <si>
    <t xml:space="preserve">Purchase of 4 x 4 Off-Road Appliances for Fire                                                      </t>
  </si>
  <si>
    <t xml:space="preserve">Fire: Purchase of Vehicles                                                                          </t>
  </si>
  <si>
    <t xml:space="preserve">Replacement of Firefighting Vehicle                                                                 </t>
  </si>
  <si>
    <t xml:space="preserve">SRAC: Purchase of Bakkie Canopies                                                                   </t>
  </si>
  <si>
    <t xml:space="preserve">Purchase of Tractor                                                                                 </t>
  </si>
  <si>
    <t xml:space="preserve">B&amp;T Office Renovations - ETB                                                                        </t>
  </si>
  <si>
    <t xml:space="preserve">Air Conditioning of Municipal Buildings                                                             </t>
  </si>
  <si>
    <t xml:space="preserve">Occupational Health and Wellness Center - Walmer                                                    </t>
  </si>
  <si>
    <t xml:space="preserve">Upgrading of depots and offices                                                                     </t>
  </si>
  <si>
    <t xml:space="preserve">Rehabilitation of Workshop Buildings                                                                </t>
  </si>
  <si>
    <t xml:space="preserve">Electricity Buildings Improvements                                                                  </t>
  </si>
  <si>
    <t xml:space="preserve">Upgrade of Kwanobuhle Fire Station                                                                  </t>
  </si>
  <si>
    <t xml:space="preserve">Refurbishment / Renewal of Govan Mbeki Fire Station                                                 </t>
  </si>
  <si>
    <t xml:space="preserve">Refurbishment / Renewal of Miramar Fire Station                                                     </t>
  </si>
  <si>
    <t xml:space="preserve">Traffic: Construction of Store at Sidwell Traffic Centre                                            </t>
  </si>
  <si>
    <t xml:space="preserve">Traffic: Construction of inside wall at Motherwell DLTC                                             </t>
  </si>
  <si>
    <t xml:space="preserve">Traffic: Upgrade of Learner's Class at Korsten DLTC                                                 </t>
  </si>
  <si>
    <t xml:space="preserve">Traffic: Construction of LMV Maneuvering Area - Uitenhage                                           </t>
  </si>
  <si>
    <t xml:space="preserve">Traffic: Construction of Motorcycle Test Track at Motherwell                                        </t>
  </si>
  <si>
    <t xml:space="preserve">Upgrade of Metro Police Bethelsdorp Precinct                                                        </t>
  </si>
  <si>
    <t xml:space="preserve">Fire: Automation of Engine Bay Doors at Fire Stations                                               </t>
  </si>
  <si>
    <t xml:space="preserve">Traffic: Rehab of Traffic &amp; licensing Buildings - Uitenhage                                         </t>
  </si>
  <si>
    <t xml:space="preserve">Upgrade of Disaster Management Offices - Despatch                                                   </t>
  </si>
  <si>
    <t xml:space="preserve">Fire Training Centre: Replace boundary fence                                                        </t>
  </si>
  <si>
    <t xml:space="preserve">Security: Replace Heavy Duty Garage Door at Armory Building                                         </t>
  </si>
  <si>
    <t xml:space="preserve">Traffic: Security Measures at Kariega Municipal Court                                               </t>
  </si>
  <si>
    <t xml:space="preserve">Traffic: Renewal of Ablution Facilities at Sidwell Municipal                                        </t>
  </si>
  <si>
    <t xml:space="preserve">Security: Revamp of Mobile Unit Building + Grounds                                                  </t>
  </si>
  <si>
    <t xml:space="preserve">Security: Refurb of Connaught Ave Station - Escort unit                                             </t>
  </si>
  <si>
    <t xml:space="preserve">Renewal of SRAC St georges offices                                                                  </t>
  </si>
  <si>
    <t xml:space="preserve">Installation of New Lifts: Lillian Diedericks Building                                              </t>
  </si>
  <si>
    <t xml:space="preserve">Fire: Refurb of Engine Bay Doors @ Kwazakhele Fire Stations                                         </t>
  </si>
  <si>
    <t xml:space="preserve">Installation of New Lifts: Mfanasekhaya Gqobose Building                                            </t>
  </si>
  <si>
    <t xml:space="preserve">New Carports at Swartkops Tigerbay Depot                                                            </t>
  </si>
  <si>
    <t xml:space="preserve">Upgrade of the jetty at Tygerbay                                                                    </t>
  </si>
  <si>
    <t xml:space="preserve">Upgrade to Fidelity Building                                                                        </t>
  </si>
  <si>
    <t xml:space="preserve">Installation of alarm systems at ward councillors offices                                           </t>
  </si>
  <si>
    <t xml:space="preserve">Booysens Park Hall: Installation of anti-climb fence                                                </t>
  </si>
  <si>
    <t xml:space="preserve">Walmer Town Hall: Installation of Anti-Climb Fence                                                  </t>
  </si>
  <si>
    <t xml:space="preserve">Despatch Depot: Installation of Anti-Climb Fence                                                    </t>
  </si>
  <si>
    <t xml:space="preserve">Fencing of the Motherwell Housing Support Centre (Housing Delivery)                                 </t>
  </si>
  <si>
    <t xml:space="preserve">Replacement/covering of main roof at Sidwell Fire Station                                           </t>
  </si>
  <si>
    <t xml:space="preserve">Replacement of asbestos roof at Miramar Fire Station                                                </t>
  </si>
  <si>
    <t xml:space="preserve">Replacement of asbestos gutters South End Fire Station                                              </t>
  </si>
  <si>
    <t xml:space="preserve">Fire: Upgrade of Control Centre at South End Fire Station                                           </t>
  </si>
  <si>
    <t xml:space="preserve">Cuyler Depot - Fencing                                                                              </t>
  </si>
  <si>
    <t xml:space="preserve">Khayamnandi Hall - Upgrade to external ablutions                                                    </t>
  </si>
  <si>
    <t xml:space="preserve">Khabalanga Hall - Upgrade to ablutions                                                              </t>
  </si>
  <si>
    <t xml:space="preserve">Babs Madlakane Hall - Upgrade to ablutions                                                          </t>
  </si>
  <si>
    <t xml:space="preserve">Despatch Depot Upgrade                                                                              </t>
  </si>
  <si>
    <t xml:space="preserve">Cuyler Depot Upgrade                                                                                </t>
  </si>
  <si>
    <t xml:space="preserve">Construction of Ward 54 Councillor office                                                           </t>
  </si>
  <si>
    <t xml:space="preserve">Ward 54 Office: Temporary Office Container, kitchen &amp; ablutions                                     </t>
  </si>
  <si>
    <t xml:space="preserve">Alarm and security installations at NMBM Corporate Buildings                                        </t>
  </si>
  <si>
    <t xml:space="preserve">Feather Market Centre - Upgrading of Ablution  Facilities                                           </t>
  </si>
  <si>
    <t xml:space="preserve">Feather Market Centre - Back-up Power System                                                        </t>
  </si>
  <si>
    <t xml:space="preserve">Feather Market Centre - Installation of Chiller for the Auditorium &amp; Selley hall                    </t>
  </si>
  <si>
    <t xml:space="preserve">KwaNobuhle Depot - Upgrade to Facilities                                                            </t>
  </si>
  <si>
    <t xml:space="preserve">Construction of Walmer Training Centre Offices - in Walmer Main road                                </t>
  </si>
  <si>
    <t xml:space="preserve">Upgrade of Corporate HR Office  - 16th Floor Lillian Diedericks Building                            </t>
  </si>
  <si>
    <t xml:space="preserve">Nangoza Jebe Hall - Purchase of water tanks with purification system                                </t>
  </si>
  <si>
    <t xml:space="preserve">Cecil Kapi Hall - Installation of Aluminium windows and  Anti-Climb Fence                           </t>
  </si>
  <si>
    <t xml:space="preserve">Cecil Kapi Hall - Purchase of water tanks with purification system                                  </t>
  </si>
  <si>
    <t xml:space="preserve">Bolo Punch Hall - Installation of  Anti-Climb Fence                                                 </t>
  </si>
  <si>
    <t xml:space="preserve">Bolo Punch Hall - Extension of Stage                                                                </t>
  </si>
  <si>
    <t xml:space="preserve">Matthew Goniwe Hall - Installation of New Gate  Motor and construction of a ramp                    </t>
  </si>
  <si>
    <t xml:space="preserve">Khalipha Senzagabom Hall - Purchase of water tanks with purification system                         </t>
  </si>
  <si>
    <t xml:space="preserve">Veeplaas Hall - Purchase of water tank                                                              </t>
  </si>
  <si>
    <t xml:space="preserve">Limba Hall - Purchase of water tanks with purification system                                       </t>
  </si>
  <si>
    <t xml:space="preserve">Jarman Hall - Installation of anti-climb fence                                                      </t>
  </si>
  <si>
    <t xml:space="preserve">Bethelsdorp Community Hall - Ablution Upgrade                                                       </t>
  </si>
  <si>
    <t xml:space="preserve">Chatty Community Hall - Ablution Upgrade                                                            </t>
  </si>
  <si>
    <t xml:space="preserve">Gail Road Depot: Installation of anti-climb fence                                                   </t>
  </si>
  <si>
    <t xml:space="preserve">Malabar Community Hall - Upgrade to ablution facilities                                             </t>
  </si>
  <si>
    <t xml:space="preserve">Burchell Drive Depot - Installation of security measures                                            </t>
  </si>
  <si>
    <t xml:space="preserve">Harrower RD Depot -  Purchase of Boardroom furniture                                                </t>
  </si>
  <si>
    <t xml:space="preserve">Pieter Rademeyer Hall Upgrade                                                                       </t>
  </si>
  <si>
    <t xml:space="preserve">Upgrade to Walmer Town Hall                                                                         </t>
  </si>
  <si>
    <t xml:space="preserve">Lillian Diedericks - Upgrade to all floorways                                                       </t>
  </si>
  <si>
    <t>Mfanasekhaya Gqobose Building - Replacement of rollershutter doors at Main Entrance and Banking Hall</t>
  </si>
  <si>
    <t xml:space="preserve">Lillian Diedericks - Replace roller shutter door at Minus 1 Entrance                                </t>
  </si>
  <si>
    <t xml:space="preserve">Fidelity Building - Replacement of rusted Water Storage Tanks                                       </t>
  </si>
  <si>
    <t xml:space="preserve">City Hall - Replacement of rusted Water Storage Tanks                                               </t>
  </si>
  <si>
    <t xml:space="preserve">Noninzi Luzipho Building - Replacement rusted Water Storage Tanks                                   </t>
  </si>
  <si>
    <t xml:space="preserve">Algoa House Upgrade                                                                                 </t>
  </si>
  <si>
    <t xml:space="preserve">Burglar Proofing - Creditors Section                                                                </t>
  </si>
  <si>
    <t xml:space="preserve">EDTA :Informal trading infrastructure                                                               </t>
  </si>
  <si>
    <t xml:space="preserve">Stanford Road Extension - Purchase of property                                                      </t>
  </si>
  <si>
    <t xml:space="preserve">PH - Upgrade and Development of Motherwell Cemetery                                                 </t>
  </si>
  <si>
    <t xml:space="preserve">PH: Purchase of Waste Containers                                                                    </t>
  </si>
  <si>
    <t xml:space="preserve">Development of waste disposal facilities (Koedoeskloof)                                             </t>
  </si>
  <si>
    <t xml:space="preserve">Development of waste disposal facilities - Arlington                                                </t>
  </si>
  <si>
    <t xml:space="preserve">Waste - Fencing of Arlington disposal site                                                          </t>
  </si>
  <si>
    <t xml:space="preserve">Infrustructure updrade - kings beach kiosk                                                          </t>
  </si>
  <si>
    <t xml:space="preserve">Water drainage an roads at Mathanzima Cemetery                                                      </t>
  </si>
  <si>
    <t xml:space="preserve">Upgrade and development of Despatch cemetery                                                        </t>
  </si>
  <si>
    <t xml:space="preserve">Upgrading of Kragga Kamma Drop-off Site                                                             </t>
  </si>
  <si>
    <t xml:space="preserve">Upgrading of Hunters Retreat Drop-off Site                                                          </t>
  </si>
  <si>
    <t xml:space="preserve">Upgrading of Gillespie Drop-off Site                                                                </t>
  </si>
  <si>
    <t xml:space="preserve">Upgrading of Ntabanani  Drop-off Site                                                               </t>
  </si>
  <si>
    <t xml:space="preserve">Rehabilitaion of KwaNobuhle Landfill Site                                                           </t>
  </si>
  <si>
    <t xml:space="preserve">Upgrade of South End Fire Station                                                                   </t>
  </si>
  <si>
    <t xml:space="preserve">Development of Malabar Phase 2 Waste Drop-off Site                                                  </t>
  </si>
  <si>
    <t xml:space="preserve">Development of Qunu Waste Drop-off Site                                                             </t>
  </si>
  <si>
    <t xml:space="preserve">Upgrading of KwaMagxaki Drop-Off Site                                                               </t>
  </si>
  <si>
    <t xml:space="preserve">Upgrading of Bluewater Bay Drop-Off Site                                                            </t>
  </si>
  <si>
    <t xml:space="preserve">Upgrading - Public Toiltes                                                                          </t>
  </si>
  <si>
    <t xml:space="preserve">IPTS -  Work Package: Public Transport Facilities                                                   </t>
  </si>
  <si>
    <t xml:space="preserve">Construction of Joe Slovo Bridge – Ward 41                                                          </t>
  </si>
  <si>
    <t xml:space="preserve">IPTS - The Development of Cleary Park Depot and Terminal                                            </t>
  </si>
  <si>
    <t xml:space="preserve">SRAC: Upgrade and restoration of libraries - Zwide                                                  </t>
  </si>
  <si>
    <t xml:space="preserve">Rehabilitate concrete roads                                                                         </t>
  </si>
  <si>
    <t xml:space="preserve">Rehabilitation of Roads                                                                             </t>
  </si>
  <si>
    <t xml:space="preserve">Reconstruction of stormwater system - Metrowide                                                     </t>
  </si>
  <si>
    <t xml:space="preserve">Rehabilitation of Stormwater Ponds                                                                  </t>
  </si>
  <si>
    <t xml:space="preserve">Ground water improvements metro wide                                                                </t>
  </si>
  <si>
    <t xml:space="preserve">Flood Risk improvement (All other rivers)                                                           </t>
  </si>
  <si>
    <t xml:space="preserve">Stormwater Improvements                                                                             </t>
  </si>
  <si>
    <t xml:space="preserve">New Traffic signals for roads intersections                                                         </t>
  </si>
  <si>
    <t xml:space="preserve">TM24 Guidance Signs                                                                                 </t>
  </si>
  <si>
    <t xml:space="preserve">Public Transport facilities                                                                         </t>
  </si>
  <si>
    <t xml:space="preserve">Facilities for the Disabled                                                                         </t>
  </si>
  <si>
    <t xml:space="preserve">Intersection Improvements                                                                           </t>
  </si>
  <si>
    <t xml:space="preserve">Construction of footbriges                                                                          </t>
  </si>
  <si>
    <t xml:space="preserve">Rehabilitation of Verges and sidewalks                                                              </t>
  </si>
  <si>
    <t xml:space="preserve">Rehabilitation of Bridge Structures                                                                 </t>
  </si>
  <si>
    <t xml:space="preserve">Road Traffic Calming Measures                                                                       </t>
  </si>
  <si>
    <t xml:space="preserve">Roads - Peri - urban: Rehabilitation of gravel roads                                                </t>
  </si>
  <si>
    <t xml:space="preserve">Roads - Provision of Rudimentary Services                                                           </t>
  </si>
  <si>
    <t xml:space="preserve">Construction of new lifeguard house at Sardinia bay                                                 </t>
  </si>
  <si>
    <t xml:space="preserve">IPTS - TOC including Bus Priority                                                                   </t>
  </si>
  <si>
    <t xml:space="preserve">Upgrade of coastal infrastructure- Kings Beach Ablutions                                            </t>
  </si>
  <si>
    <t xml:space="preserve">Upgrade of coastal infrastructure -  Pollock Beach Ablutions                                        </t>
  </si>
  <si>
    <t xml:space="preserve">Upgrade  of coastal infrastructure -  Hobie Yacht Club                                              </t>
  </si>
  <si>
    <t xml:space="preserve">Roads- Tarring of circles-New Brighton                                                              </t>
  </si>
  <si>
    <t xml:space="preserve">Roads-Reconstruction of Old PE-Uitenhage Road                                                       </t>
  </si>
  <si>
    <t xml:space="preserve">Upgrade and development of Brighton Beach Infrastructure                                            </t>
  </si>
  <si>
    <t xml:space="preserve">Upgrading of Chevrolet caretaker cottage                                                            </t>
  </si>
  <si>
    <t xml:space="preserve">Rehabilitation of Park Drive Museum                                                                 </t>
  </si>
  <si>
    <t xml:space="preserve">IPTS - The Development of Kariega CBD, Kwanobuhle                                                   </t>
  </si>
  <si>
    <t xml:space="preserve">Wells Estate Beach - Upgrade Infrastructure	                                                        </t>
  </si>
  <si>
    <t xml:space="preserve">Wells Estate Beach - Upgrade	                                                                       </t>
  </si>
  <si>
    <t xml:space="preserve">Provision of Sidewalk - Phase 25                                                                    </t>
  </si>
  <si>
    <t xml:space="preserve">Upgrade of City Friends Sports Field                                                                </t>
  </si>
  <si>
    <t xml:space="preserve">Ward 33 .Govan Mbeki Village Sports Facility.                                                       </t>
  </si>
  <si>
    <t xml:space="preserve">Rehabilitation of Mzontsundu Sports field                                                           </t>
  </si>
  <si>
    <t xml:space="preserve">Upgrade and development - Springs Resort                                                            </t>
  </si>
  <si>
    <t xml:space="preserve">Upgrade of internal roads within Van Stadens Nature reserve                                         </t>
  </si>
  <si>
    <t xml:space="preserve">Fencing of Van Stadens Nature Reserve                                                               </t>
  </si>
  <si>
    <t xml:space="preserve">Rehabilittion of Van Standens Nature Reserve Roof coverings                                         </t>
  </si>
  <si>
    <t xml:space="preserve">Sidewalk: Mase Street                                                                               </t>
  </si>
  <si>
    <t xml:space="preserve">Sidewalk:Merele Street                                                                              </t>
  </si>
  <si>
    <t xml:space="preserve">Sidewalk: Bafana Street	                                                                            </t>
  </si>
  <si>
    <t xml:space="preserve">Sidewalk: Hlawula Street                                                                            </t>
  </si>
  <si>
    <t xml:space="preserve">Fencing of Road Reserves - Metrowide                                                                </t>
  </si>
  <si>
    <t xml:space="preserve">Sidewalk: Ngene Street                                                                              </t>
  </si>
  <si>
    <t xml:space="preserve">Sidewalk:Mahlangu Street	                                                                           </t>
  </si>
  <si>
    <t xml:space="preserve">Sidewalk: Kreisman Street	                                                                          </t>
  </si>
  <si>
    <t xml:space="preserve">Sidewalk: Mathodlana Street                                                                         </t>
  </si>
  <si>
    <t xml:space="preserve">Sidewalk: Mbobela Street                                                                            </t>
  </si>
  <si>
    <t xml:space="preserve">Sidewalk: Moyake Street                                                                             </t>
  </si>
  <si>
    <t xml:space="preserve">Sidewalk:Mkwayi Street                                                                              </t>
  </si>
  <si>
    <t xml:space="preserve">Construction of Sakhizwe Road                                                                       </t>
  </si>
  <si>
    <t xml:space="preserve">Construction of Leopard Road                                                                        </t>
  </si>
  <si>
    <t xml:space="preserve">Construction of Mandilakhe Road                                                                     </t>
  </si>
  <si>
    <t xml:space="preserve">Construction of Nomakula Mondala Road                                                               </t>
  </si>
  <si>
    <t xml:space="preserve">Construction of Yondangebhulu Road                                                                  </t>
  </si>
  <si>
    <t xml:space="preserve">Construction of Sandile Songwiqi Road                                                               </t>
  </si>
  <si>
    <t xml:space="preserve">Construction of Siyaya Nkonyeni Road                                                                </t>
  </si>
  <si>
    <t xml:space="preserve">Construction of Collector Roads in Khayamnandi                                                      </t>
  </si>
  <si>
    <t xml:space="preserve">Upgrade of Walmer Sportsfiled                                                                       </t>
  </si>
  <si>
    <t xml:space="preserve">Joe Slovo Sportfield:Grass Planting, Borehole installation, construction of a retaining wall        </t>
  </si>
  <si>
    <t xml:space="preserve">Upgrade of Rensburg Sportsfield                                                                     </t>
  </si>
  <si>
    <t xml:space="preserve">Rehabilitation of Jabavu Stadium                                                                    </t>
  </si>
  <si>
    <t xml:space="preserve">IPTS - Road Improvements                                                                            </t>
  </si>
  <si>
    <t xml:space="preserve">Rehabilitation of Langa Memorial                                                                    </t>
  </si>
  <si>
    <t xml:space="preserve">Purchase of Guardhouses for Cemeteries                                                              </t>
  </si>
  <si>
    <t xml:space="preserve">Malabar Cemetery Fencing                                                                            </t>
  </si>
  <si>
    <t xml:space="preserve">IPTS - Widening of Bereng Road                                                                      </t>
  </si>
  <si>
    <t xml:space="preserve">IPTS - Construction of Kwa-Nobuhle Holding Depot                                                    </t>
  </si>
  <si>
    <t xml:space="preserve">2027 ISUP-construction of roads-jachtvlakte                                                         </t>
  </si>
  <si>
    <t xml:space="preserve">Gelvandale Caretaker Cottage                                                                        </t>
  </si>
  <si>
    <t xml:space="preserve">Fencing of Linton Grange Library                                                                    </t>
  </si>
  <si>
    <t xml:space="preserve">Rehabilitation of Kwazakhele swimming pool                                                          </t>
  </si>
  <si>
    <t xml:space="preserve">Rehabilitation of Wolfson Stadium                                                                   </t>
  </si>
  <si>
    <t xml:space="preserve">Rehabilitation of Matanzima Sportsfield Phase 1                                                     </t>
  </si>
  <si>
    <t xml:space="preserve">Rehabilitation of Ekuphumleni Multi Purpose centre                                                  </t>
  </si>
  <si>
    <t xml:space="preserve">Upgrade of Thembani Sportsfield                                                                     </t>
  </si>
  <si>
    <t xml:space="preserve">Rehabilitaion of Rhelu Sportsfield Phase 1                                                          </t>
  </si>
  <si>
    <t xml:space="preserve">Upgrade of Khayamnandi Sportsfield                                                                  </t>
  </si>
  <si>
    <t xml:space="preserve">Upgrade of Motherwell Xhama Sportsfield                                                             </t>
  </si>
  <si>
    <t xml:space="preserve">Upgrade of Derick Ferreira Sports Field                                                             </t>
  </si>
  <si>
    <t xml:space="preserve">Upgrade of Jachtvalte Sportsfield                                                                   </t>
  </si>
  <si>
    <t xml:space="preserve"> Upgrade and Development of Public Open Spaces - Kingston Park                                      </t>
  </si>
  <si>
    <t xml:space="preserve">Upgrade and Development of Public Open Spaces - Mgolodela Park                                      </t>
  </si>
  <si>
    <t xml:space="preserve">Upgrade and Development of Public Open Spaces - Middle Park                                         </t>
  </si>
  <si>
    <t xml:space="preserve">Upgrade and Development of Public Open Spaces - Bhucu Park                                          </t>
  </si>
  <si>
    <t xml:space="preserve">Upgrade and Development of Public Open Spaces - Croton Park                                         </t>
  </si>
  <si>
    <t xml:space="preserve">Upgrade and Development of Public Open Spaces - Inxanxadi Park                                      </t>
  </si>
  <si>
    <t xml:space="preserve">Development of Doorenhoek Waste Drop-off Site                                                       </t>
  </si>
  <si>
    <t xml:space="preserve">Development of Food Garden:Dubai                                                                    </t>
  </si>
  <si>
    <t xml:space="preserve">Development of Food Garden:Walmer Airport Valley                                                    </t>
  </si>
  <si>
    <t xml:space="preserve">Development of Food Garden:Colchester                                                               </t>
  </si>
  <si>
    <t xml:space="preserve">Development of Food Garden:Qaqawuli                                                                 </t>
  </si>
  <si>
    <t xml:space="preserve">Development of Food Garden: Bayland                                                                 </t>
  </si>
  <si>
    <t xml:space="preserve"> Upgrade and Development of Public Open Spaces - Myali                                              </t>
  </si>
  <si>
    <t xml:space="preserve"> Upgrade and Development of Public Open Spaces - Xegwana                                            </t>
  </si>
  <si>
    <t xml:space="preserve"> Upgrade and Development of Public Open Spaces - Botton Johnson                                     </t>
  </si>
  <si>
    <t xml:space="preserve"> Upgrade and Development of Public Open Spaces - Salvia Park                                        </t>
  </si>
  <si>
    <t xml:space="preserve"> Upgrade and Development of Public Open Spaces - Cushe park                                         </t>
  </si>
  <si>
    <t xml:space="preserve"> Upgrade and Development of Public Open Spaces - Nkadimeng Park                                     </t>
  </si>
  <si>
    <t xml:space="preserve">Beach Development - Wells Estate                                                                    </t>
  </si>
  <si>
    <t xml:space="preserve">Motherwelll Canal Wetlands                                                                          </t>
  </si>
  <si>
    <t xml:space="preserve">Reinforcement of Electricity Network- Wells Estate                                                  </t>
  </si>
  <si>
    <t xml:space="preserve">Upgrade  of coastal infrastructure -  Bluewater Bay Ablution                                        </t>
  </si>
  <si>
    <t xml:space="preserve">Wells Estate - Access Road - Tyinirha &amp; Bhunga Roads                                                </t>
  </si>
  <si>
    <t xml:space="preserve">EDTA: Coldrooms and Banana Ripening Facilities at Market                                            </t>
  </si>
  <si>
    <t xml:space="preserve">Upgrade of Raymond Mhlaba Swimming Pool                                                             </t>
  </si>
  <si>
    <t xml:space="preserve">Rehabilitation of Motherwell Library 	                                                              </t>
  </si>
  <si>
    <t xml:space="preserve">E&amp;E Construction of 22KV Feeder to Motherwell NU30 - Ward 54                                        </t>
  </si>
  <si>
    <t xml:space="preserve">2025 ISUP - Motherwell NU12 (Area C) - ward 54 - construction of road - Sizinzi                     </t>
  </si>
  <si>
    <t xml:space="preserve">Motherwell NU 30 Ph4 - Roadworks (Human Settlements)                                                </t>
  </si>
  <si>
    <t xml:space="preserve">Motherwell NU 30 Ph4 - Stormwater Reticulation (Human Settlements)                                  </t>
  </si>
  <si>
    <t xml:space="preserve">Motherwell NU 30 Ph4 - Water Reticulation (Human Settlements)                                       </t>
  </si>
  <si>
    <t xml:space="preserve">Motherwell NU 30 Ph4 - Sewer Reticulation (Human Settlements)                                       </t>
  </si>
  <si>
    <t xml:space="preserve">Motherwell NU 31 - Roadworks (Human Settlements)                                                    </t>
  </si>
  <si>
    <t xml:space="preserve">Motherwell NU 31 - Stormwater Reticulation (Human Settlements)                                      </t>
  </si>
  <si>
    <t xml:space="preserve">Motherwell NU 31 - Water Reticulation (Human Settlements)                                           </t>
  </si>
  <si>
    <t xml:space="preserve">Motherwell NU 31 - Sewer Reticulation (Human Settlements)                                           </t>
  </si>
  <si>
    <t xml:space="preserve">2026 ISUP-construction of roads-motherwell NU 30                                                    </t>
  </si>
  <si>
    <t xml:space="preserve">Stormwater Improvements Ikamvelihle: Ponds rehabilitation                                           </t>
  </si>
  <si>
    <t xml:space="preserve">Cannonville/Colechester: Stormwater improvements - road construction                                </t>
  </si>
  <si>
    <t xml:space="preserve">Water drainage and roads at Motherwell Cemetery                                                     </t>
  </si>
  <si>
    <t xml:space="preserve">REINFORCEMENT OF ELECTRICITY NETWORKS-COEGA - Internal funds                                        </t>
  </si>
  <si>
    <t xml:space="preserve">Reinforcement of Electricity Network- Despatch                                                      </t>
  </si>
  <si>
    <t xml:space="preserve">Upgrade and Development of Kabah Cemetery                                                           </t>
  </si>
  <si>
    <t xml:space="preserve">Upgrade of Uitenhage Dog Pound                                                                      </t>
  </si>
  <si>
    <t xml:space="preserve">Fire: Replacement of fence at Uitenhage Fire Station                                                </t>
  </si>
  <si>
    <t xml:space="preserve">Upgrade and Development of Public Open Spaces -Sipres Park                                          </t>
  </si>
  <si>
    <t xml:space="preserve">Wildolive Road and sidewalk (Ward 48)                                                               </t>
  </si>
  <si>
    <t xml:space="preserve">McCarthyLand Ptn Erf 17585 - Water Reticulation                                                     </t>
  </si>
  <si>
    <t xml:space="preserve">McCarthyLand, Ptn Erf 17585  - Sewer Reticulation                                                   </t>
  </si>
  <si>
    <t xml:space="preserve">McCarthyLand Ptn Erf 17585 - Stormwater Reticulation                                                </t>
  </si>
  <si>
    <t xml:space="preserve">Allanridge West -  Roadworks  (Human Settlements)                                                   </t>
  </si>
  <si>
    <t xml:space="preserve">Kariega Erf 818-863 - Roadworks (Human Settlements)                                                 </t>
  </si>
  <si>
    <t xml:space="preserve">Kariega Erf 818-863 - Stormwater Reticulation  (Human Settlements)                                  </t>
  </si>
  <si>
    <t xml:space="preserve">Kariega Erf 818-863 - Water Reticulation (Human Settlements)                                        </t>
  </si>
  <si>
    <t xml:space="preserve">Kariega Erf 818-863 - Sewer Reticulation (Human Settlements)                                        </t>
  </si>
  <si>
    <t xml:space="preserve">Upgrade and Development of Matanzima Cemetery                                                       </t>
  </si>
  <si>
    <t xml:space="preserve">Siwani Street and sidewalk (Ward 47)                                                                </t>
  </si>
  <si>
    <t xml:space="preserve">Hobo Hobo Street and sidewalk (Ward 46)                                                             </t>
  </si>
  <si>
    <t>IPTS - Upgrading of Kariega Fresh Produce Market into an Interim Depot</t>
  </si>
  <si>
    <t xml:space="preserve">Reinforcement of Electricity Network- Uitenhage                                                     </t>
  </si>
  <si>
    <t xml:space="preserve">E&amp;E - Mabandla MV Upgrade                                                                           </t>
  </si>
  <si>
    <t xml:space="preserve">Ngxangxosi Street and sidewalk (Ward 45)                                                            </t>
  </si>
  <si>
    <t xml:space="preserve">Sagcaphe Street and sidewalk ( Ward 45)                                                             </t>
  </si>
  <si>
    <t xml:space="preserve">Re-Construction of Kwanobuhle Library                                                               </t>
  </si>
  <si>
    <t xml:space="preserve">Upgrade and Development of Public Open Spaces -  Jolobe Park                                        </t>
  </si>
  <si>
    <t xml:space="preserve">Ngonyama Street and Sidewalk ( Ward 42)                                                             </t>
  </si>
  <si>
    <t xml:space="preserve">Aluta Continua Access Road - Joe Slovo                                                              </t>
  </si>
  <si>
    <t xml:space="preserve">Khayamnandi Phase 5 - Roadworks (Human Settlements)                                                 </t>
  </si>
  <si>
    <t xml:space="preserve">Khayamnandi Phase 5 - Stormwater Reticulation                                                       </t>
  </si>
  <si>
    <t xml:space="preserve">Khayamnandi Phase 5 - Water Reticulation                                                            </t>
  </si>
  <si>
    <t xml:space="preserve">Khayamnandi Phase 5 - Sewer Reticulation                                                            </t>
  </si>
  <si>
    <t xml:space="preserve">2024 ISUP - Joe Slovo Ward 41 Construction of Roads                                                 </t>
  </si>
  <si>
    <t xml:space="preserve">2025 ISUP-Khayamnandi -Nonkwiniza,Sakhisizwe, Ngcezi ward 41                                        </t>
  </si>
  <si>
    <t xml:space="preserve">2026 ISUP-construction of roads-khayamnandi phase 6                                                 </t>
  </si>
  <si>
    <t xml:space="preserve">Seaview- Roadworks (Human Settlements)                                                              </t>
  </si>
  <si>
    <t xml:space="preserve">Seaview Housing - Stormwater Reticulation (HS)                                                      </t>
  </si>
  <si>
    <t xml:space="preserve">Seaview Housing - Water Reticulation (Human Settlements)                                            </t>
  </si>
  <si>
    <t xml:space="preserve">Seaview Housing - Sewer Reticulation (Human Settlements)                                            </t>
  </si>
  <si>
    <t xml:space="preserve">Blue Horizon Bay Bulk Stormwater: Phase 1                                                           </t>
  </si>
  <si>
    <t xml:space="preserve">Bethelsdorp Saltlake - Roadworks (Human Settlements)                                                </t>
  </si>
  <si>
    <t xml:space="preserve">Bethelsdorp Saltlake - Stormwater Reticulation (Human Settlements)                                  </t>
  </si>
  <si>
    <t xml:space="preserve">Bethelsdorp Saltlake - Water Reticulation (Human Settlements)                                       </t>
  </si>
  <si>
    <t xml:space="preserve">Bethelsdorp Saltlake - Sewer Reticulation (Human Settlements)                                       </t>
  </si>
  <si>
    <t xml:space="preserve">2025 ISUP -Vistarus/Rolihlahla - Construction of Roads - Jan, Xolani and Mpendula street in ward 31 </t>
  </si>
  <si>
    <t xml:space="preserve">2027 ISUP-construction of roads- salt lake ward 31                                                  </t>
  </si>
  <si>
    <t xml:space="preserve">Upgrade and Development of Public Open Spaces -Chamois Park                                         </t>
  </si>
  <si>
    <t xml:space="preserve">Kleinskool Kliprand - Roadworks (HS)                                                                </t>
  </si>
  <si>
    <t xml:space="preserve">Kleinskool Kliprand - Stormwater Reticulation                                                       </t>
  </si>
  <si>
    <t xml:space="preserve">Kleinskool Kliprand - Water Reticulation (Human Settlements)                                        </t>
  </si>
  <si>
    <t xml:space="preserve">Kleinskool Kliprand - Sewer Reticulation                                                            </t>
  </si>
  <si>
    <t xml:space="preserve">Mbeki Road Sidewalk – Ward 33                                                                       </t>
  </si>
  <si>
    <t xml:space="preserve">E&amp;E Bulk infrastructure establish New Sub Station -Booysens Park - Joe Slovo (Ward 36)              </t>
  </si>
  <si>
    <t xml:space="preserve">Construction of Bloemendal Arterial - Ward 36                                                       </t>
  </si>
  <si>
    <t xml:space="preserve">Rehabilitation &amp; Restoration of Chatty Library                                                      </t>
  </si>
  <si>
    <t xml:space="preserve">Upgrade and Development of Bethelsdorp Cemetery                                                     </t>
  </si>
  <si>
    <t xml:space="preserve">Bethelsdorp Ext 32,34,36 - Roadworks (Human Settlements)                                            </t>
  </si>
  <si>
    <t xml:space="preserve">Bethelsdorp Ext 32,34,36 - Stormwater Reticulation                                                  </t>
  </si>
  <si>
    <t xml:space="preserve">Bethelsdorp Ext 32,34,36 - Water Reticulation                                                       </t>
  </si>
  <si>
    <t xml:space="preserve">Bethelsdorp Ext 32,34,36 - Sewer Reticulation                                                       </t>
  </si>
  <si>
    <t xml:space="preserve">2026 ISUP-construction of roads-bethelsdorp ext 32,34 and 36                                        </t>
  </si>
  <si>
    <t xml:space="preserve">Upgrade and Development of Bloemendal  Cemetery                                                     </t>
  </si>
  <si>
    <t xml:space="preserve">Kraga Kamma Sidewalk- Ward 39                                                                       </t>
  </si>
  <si>
    <t>NMBM Multi-Purpose Stadium - Upgrades</t>
  </si>
  <si>
    <t xml:space="preserve">Upgrade and development of public open spaces - Terence Park                                        </t>
  </si>
  <si>
    <t xml:space="preserve">Upgrade and development of public open spaces - Korea Park                                          </t>
  </si>
  <si>
    <t xml:space="preserve">Upgrade and development of public open spaces - Grover Park                                         </t>
  </si>
  <si>
    <t>WARD 50</t>
  </si>
  <si>
    <t>WARD 15</t>
  </si>
  <si>
    <t>WARD 19</t>
  </si>
  <si>
    <t>WARD 28</t>
  </si>
  <si>
    <t>Final 2025/26 Draft Capital Budget to be approved</t>
  </si>
  <si>
    <t>Final 2026/27 Draft Capital Budget to be approved</t>
  </si>
  <si>
    <t>Final 2027/28 Draft Capital Budget to be approved</t>
  </si>
  <si>
    <t xml:space="preserve">Tarring Of Gravel Roads- Priority 2(mofamadi,matololana and mpongashe street)                                                                 </t>
  </si>
  <si>
    <t xml:space="preserve">Tarring Of Gravel Roads- Priority 2(nongonoza,Nqothoyi,Ntili,Polo&amp;Zola street)                                                                 </t>
  </si>
  <si>
    <t xml:space="preserve">Tarring Of Gravel Roads- Priority 2 (Trow road)                                                                </t>
  </si>
  <si>
    <t xml:space="preserve">Tarring Of Gravel Roads- Priority 2 (Nyakrila&amp;Thokazi street)                                                                </t>
  </si>
  <si>
    <t xml:space="preserve">Tarring Of Gravel Roads- Priority 2 (3* Ntimba street cul-de-sac)                                                                </t>
  </si>
  <si>
    <t xml:space="preserve">Tarring Of Gravel Roads- Priority 2 (Roboji &amp; Gamasi street)                                                                </t>
  </si>
  <si>
    <t xml:space="preserve">Tarring Of Gravel Roads- Priority 2 (Mphetha street)                                                                </t>
  </si>
  <si>
    <t xml:space="preserve">Tarring Of Gravel Roads- Priority 2 (Njakazi and Nqadu street-cul-de-sacs)                                                                </t>
  </si>
  <si>
    <t xml:space="preserve">Tarring Of Gravel Roads- Priority 2 (Mtendwe street-cul-de-sacs)                                                                </t>
  </si>
  <si>
    <t xml:space="preserve">Tarring Of Gravel Roads- Priority2(Avenue B)                                                                </t>
  </si>
  <si>
    <t xml:space="preserve">Tarring Of Gravel Roads- Priority2(Salvato street)                                                                </t>
  </si>
  <si>
    <t xml:space="preserve">Tarring Of Gravel Roads- Priority2(Cathrade street)                                                                </t>
  </si>
  <si>
    <t xml:space="preserve">Tarring Of Gravel Roads- Priority2(Ntolosi street)                                                                </t>
  </si>
  <si>
    <t xml:space="preserve">Tarring Of Gravel Roads- Priority2(Hickory rd + cul-de-sac)                                                                </t>
  </si>
  <si>
    <t xml:space="preserve">Tarring Of Gravel Roads- Priority2(6*cul-de-sac in kathrada)                                                                </t>
  </si>
  <si>
    <t xml:space="preserve">Tarring Of Gravel Roads- Priority2(Tyukata Buys Drive)                                                                </t>
  </si>
  <si>
    <t xml:space="preserve">Tarring Of Gravel Roads- Priority2(Qongqothwane &amp; Elijah Street)                                                                </t>
  </si>
  <si>
    <t xml:space="preserve">Tarring Of Gravel Roads- Priority2(Jameson rd &amp; brown str cul-de-sac)                                                                </t>
  </si>
  <si>
    <t xml:space="preserve">Tarring Of Gravel Roads- Priority2(Peter &amp; Nolonwabo Street)                                                                </t>
  </si>
  <si>
    <t xml:space="preserve">Tarring Of Gravel Roads- Priority2(Busi &amp; mfunda Street)                                                                </t>
  </si>
  <si>
    <t xml:space="preserve">Tarring Of Gravel Roads- Priority2(Morock rd cul-de-sac &amp; new-G-32-01)                                                                </t>
  </si>
  <si>
    <t xml:space="preserve">Tarring Of Gravel Roads- Priority2(Nopote Street)                                                                </t>
  </si>
  <si>
    <t xml:space="preserve">Tarring Of Gravel Roads- Priority2(Peter Street)                                                                </t>
  </si>
  <si>
    <t xml:space="preserve">Tarring Of Gravel Roads- Priority2(9th Avenue)                                                                </t>
  </si>
  <si>
    <t xml:space="preserve">Tarring Of Gravel Roads- Priority2(Singcaphe Street)                                                                </t>
  </si>
  <si>
    <t xml:space="preserve">Tarring Of Gravel Roads- Priority2(Siwani Street)                                                                </t>
  </si>
  <si>
    <t xml:space="preserve">Provision of Sidewalk - Phase 25(buffelsfontein 11-10th avenue)                                                                    </t>
  </si>
  <si>
    <t xml:space="preserve">Provision of Sidewalk - Phase 25(Willow Road)                                                                    </t>
  </si>
  <si>
    <t xml:space="preserve">Provision of Sidewalk - Phase 25(Mahlungu street)                                                                    </t>
  </si>
  <si>
    <t xml:space="preserve">Provision of Sidewalk - Phase 25(Budaza street)                                                                    </t>
  </si>
  <si>
    <t xml:space="preserve">Provision of Sidewalk - Phase 25(Dyanti street)                                                                    </t>
  </si>
  <si>
    <t xml:space="preserve">Provision of Sidewalk - Phase 25(Mathodlana street)                                                                    </t>
  </si>
  <si>
    <t xml:space="preserve">Provision of Sidewalk - Phase 25(Vinjiwe street)                                                                    </t>
  </si>
  <si>
    <t xml:space="preserve">Provision of Sidewalk - Phase 25(Javu street)                                                                    </t>
  </si>
  <si>
    <t xml:space="preserve">Provision of Sidewalk - Phase 25(Higa street)                                                                    </t>
  </si>
  <si>
    <t xml:space="preserve">Provision of Sidewalk - Phase 25(Mangcaka/Klaas street)                                                                    </t>
  </si>
  <si>
    <t xml:space="preserve">Provision of Sidewalk - Phase 25(Voison  street)                                                                    </t>
  </si>
  <si>
    <t xml:space="preserve">Provision of Sidewalk - Phase 25(Blackburn  street)                                                                    </t>
  </si>
  <si>
    <t xml:space="preserve">Provision of Sidewalk - Phase 25(Bloukappier  street)                                                                    </t>
  </si>
  <si>
    <t xml:space="preserve">Provision of Sidewalk - Phase 25(Denson  street)                                                                    </t>
  </si>
  <si>
    <t xml:space="preserve">Provision of Sidewalk - Phase 25(Pityana  street)                                                                    </t>
  </si>
  <si>
    <t xml:space="preserve">Provision of Sidewalk - Phase 25(Jona &amp; Ngani  street)                                                                    </t>
  </si>
  <si>
    <t xml:space="preserve">Provision of Sidewalk - Phase 25(John Dissel Drive  street)                                                                    </t>
  </si>
  <si>
    <t xml:space="preserve">Provision of Sidewalk - Phase 25(Pelican  street)                                                                    </t>
  </si>
  <si>
    <t xml:space="preserve">Provision of Sidewalk - Phase 25(23Th Avenue)                                                                    </t>
  </si>
  <si>
    <t xml:space="preserve">Tarring Of Gravel Roads- Priority2(Manxiwa {30m left}&amp; Kaunda street)                                                                </t>
  </si>
  <si>
    <t xml:space="preserve">Lift to accommodate Disabled Persons: Sidwell Traffic Centre  </t>
  </si>
  <si>
    <t>Upgrade of Newton Park Swimming Pool</t>
  </si>
  <si>
    <t xml:space="preserve">Tarring Of Gravel Roads- Priority2(Hobo-hobo Street)                                                                </t>
  </si>
  <si>
    <t xml:space="preserve">Upgrade and Development of Public Open Spaces -Siqokwana Park                                        </t>
  </si>
  <si>
    <t>Upgrade and development of Public Open Spaces- Bunn Street</t>
  </si>
  <si>
    <t xml:space="preserve">Allanridge West - Sewer Reticulation (Human Settlements)                                     </t>
  </si>
  <si>
    <t xml:space="preserve">Allanridge West - Stormwater Reticulation (Human Settlements)                                 </t>
  </si>
  <si>
    <t xml:space="preserve">Allanridge West - Water Reticulation (Human Settlements)                                     </t>
  </si>
  <si>
    <t xml:space="preserve">Afghanistan, Erf 6840 - Sewer Reticulation                                                         </t>
  </si>
  <si>
    <t>Afghanistan, Erf 6840 - Roadworks</t>
  </si>
  <si>
    <t xml:space="preserve">Afghanistan, Erf 6840 - Stormwater Reticulation                                                       </t>
  </si>
  <si>
    <t xml:space="preserve">Afghanistan, Erf 6840 - Water Reticulation                                                              </t>
  </si>
  <si>
    <t xml:space="preserve">McCarthyLand, Ptn Erf 17585 -  Roadworks                                                           </t>
  </si>
  <si>
    <t xml:space="preserve">Construction of Tshiwula street in New Brighton                                                       </t>
  </si>
  <si>
    <t>Upgrade and Development of Public Open Spaces -Goldberg Saltlake Park</t>
  </si>
  <si>
    <t>Ward 8</t>
  </si>
  <si>
    <t xml:space="preserve">Upgrade and development of public open spaces - Melumzi                                             </t>
  </si>
  <si>
    <t xml:space="preserve">Upgrade and development of public open spaces - Compher park                                        </t>
  </si>
  <si>
    <t xml:space="preserve">Upgrade and Development of Public Open Spaces - Siyamthanda Park                                       </t>
  </si>
  <si>
    <t xml:space="preserve">Sanitation-Construction of Single Ablution Facilities </t>
  </si>
  <si>
    <t>OPEX</t>
  </si>
  <si>
    <t xml:space="preserve">Resurfacing tar roads (St Leonard Street)                                                                             </t>
  </si>
  <si>
    <t xml:space="preserve">Resurfacing tar roads (M17 Dibanisa Road)                                                                             </t>
  </si>
  <si>
    <t xml:space="preserve">Tarring of Madala, Aggrey and Ferguson Cul-de-sacs (Ward 17)                                                            </t>
  </si>
  <si>
    <t xml:space="preserve">Resurfacing tar roads (Struanway Road)                                                                             </t>
  </si>
  <si>
    <t xml:space="preserve">Resurfacing tar roads (Capulate Street)                                                                             </t>
  </si>
  <si>
    <t xml:space="preserve">Undeclared Informal Electrification (Mullers Ground-Greenfield) </t>
  </si>
  <si>
    <t xml:space="preserve">Rehabilitation of Roads (Harmony Street)                                                                           </t>
  </si>
  <si>
    <t xml:space="preserve">Rehabilitation of Roads (Limud Street)                                                                         </t>
  </si>
  <si>
    <t xml:space="preserve">Rehabilitation of Roads (Lekker Street)                                                                           </t>
  </si>
  <si>
    <t xml:space="preserve">Resurfacing tar roads (Solomon Mahlangu Street)                                                                            </t>
  </si>
  <si>
    <t xml:space="preserve">Resurfacing tar roads (Khayamnandi Street)                                                                              </t>
  </si>
  <si>
    <t xml:space="preserve">Undeclared Informal Electrification (Covid 19)                                                                 </t>
  </si>
  <si>
    <t xml:space="preserve">Resurfacing tar roads (Ndlambe Street)                                                                            </t>
  </si>
  <si>
    <t xml:space="preserve">Undeclared Informal Electrification (Mc Carthy Land)                                                                 </t>
  </si>
  <si>
    <t xml:space="preserve">Undeclared Informal Electrification (Bayland R75)                                                                 </t>
  </si>
  <si>
    <t xml:space="preserve">Undeclared Informal Electrification (Moegesukkel)                                                                 </t>
  </si>
  <si>
    <t xml:space="preserve">Undeclared Informal Electrification (Lilithal)                                                                 </t>
  </si>
  <si>
    <t xml:space="preserve">Undeclared Informal Electrification (Ncinanel)                                                                 </t>
  </si>
  <si>
    <t xml:space="preserve">Resurfacing tar roads (Ntsanyana Road)                                                                            </t>
  </si>
  <si>
    <t xml:space="preserve">Undeclared Informal Electrification (Young Park)                                                                 </t>
  </si>
  <si>
    <t xml:space="preserve">Resurfacing tar roads (Dibanisa Road M17)                                                                            </t>
  </si>
  <si>
    <t xml:space="preserve">Resurfacing tar roads (Markman Industrial)                                                                            </t>
  </si>
  <si>
    <t xml:space="preserve">Undeclared Informal Electrification (Qona / Ebobeleni)                                                                 </t>
  </si>
  <si>
    <t xml:space="preserve">Provision of Sidewalk - Phase 25 (Gxokolo &amp; Ngcangca street)                                                                    </t>
  </si>
  <si>
    <t xml:space="preserve">Provision of Sidewalk - Phase 25 (Crammer street)                                                                    </t>
  </si>
  <si>
    <t xml:space="preserve">Upgrade and development - Maitlands beach                                                            </t>
  </si>
  <si>
    <t xml:space="preserve">Upgrading of Tshiwula Street(including Cul-de-sacs and Sidewalk                                        </t>
  </si>
  <si>
    <t xml:space="preserve">Mtimka Phase 2 (Cul-de-sacs and Sidewalk)                                                            </t>
  </si>
  <si>
    <t xml:space="preserve">E&amp;E - Public Lighting                                                                              </t>
  </si>
  <si>
    <t xml:space="preserve">E&amp;E-Electrification of State Subsidised Houses   45, 10 as per Spreadsheet re Fakazile)       </t>
  </si>
  <si>
    <t>NEW</t>
  </si>
  <si>
    <t>Kat Canal Rehabilitation (Funded from Fuel Levy &amp; USDG from various projects)</t>
  </si>
  <si>
    <t>Sanitation: Cape Recife WWTW Construction of Pump Station Rising Main Pipeline (R1,000,000 to be transferred to  Kat Canal Project)</t>
  </si>
  <si>
    <t xml:space="preserve">1411:Swartskops Low Level Collector Sewer Upgrade            (Cut across 4 wards)  (R4,000,000 to be transferred to Kat Canal Project)                                      </t>
  </si>
  <si>
    <t>Top Structures Grant - Motherwell NU 30 – 1820 (500) Phase 2</t>
  </si>
  <si>
    <t>Top Structures Grant - PE:Motherwell NU12C (248)</t>
  </si>
  <si>
    <t>Top Structures Grant - Mandelaville 110</t>
  </si>
  <si>
    <t>Top Structures Grant - Uitenhage Joe Slovo 216 PH 2</t>
  </si>
  <si>
    <t>Top Structures Grant - Uitenhage Area 11 (1414) 300 Ph 1</t>
  </si>
  <si>
    <t>Top Structures Grant - Joe Slovo West 2000 (500)</t>
  </si>
  <si>
    <t>Top Structures Grant - P E. Jagvlakte 327</t>
  </si>
  <si>
    <t>Top Structures Grant - PE. Masakhane 125</t>
  </si>
  <si>
    <t>Top Structures Grant - PE. Qaqawuli 390 P2</t>
  </si>
  <si>
    <t>Top Structures Grant - PE: Govan Mbeki  2300 Phase 2 (Rectification Projects)</t>
  </si>
  <si>
    <t xml:space="preserve">Construction of new offices at Supply Chain Management  (R1 900 000 to Ward 8 Cllr's Office)                                            </t>
  </si>
  <si>
    <t xml:space="preserve">Construction of Ward 8 Councillor Office      (From SCM Building project)                                                      </t>
  </si>
  <si>
    <t xml:space="preserve">Upgrade of Zwide stadium      (Xferred from Ward 26 to Ward 25)                                                                      </t>
  </si>
  <si>
    <t>2025/26</t>
  </si>
  <si>
    <t xml:space="preserve">Roads- Tarring of circles- New Brighton (Msimka Connacher and Limba)                                                              </t>
  </si>
  <si>
    <t xml:space="preserve">Rehabilitation of Roads (Walmer Cemetery Road)                                                                          </t>
  </si>
  <si>
    <t xml:space="preserve">E&amp;E-Electrification of State Subsidised Houses   (45 as per Spreadsheet re Fakazile)       </t>
  </si>
  <si>
    <t xml:space="preserve">E&amp;E-Electrification of State Subsidised Houses (Ward 10 as per Spreadsheet re Fakazile)       </t>
  </si>
  <si>
    <t xml:space="preserve">Roads- Tarring of circles-New Brighton (Madala, Aggrey &amp; Ferguson Cul-de-sacs)                                                          </t>
  </si>
  <si>
    <t xml:space="preserve">Renewal of Distribution Water Pipelines   (To Ward 16 = R1 000 000)                                                          </t>
  </si>
  <si>
    <t xml:space="preserve">Upgrade and Development of Public Open Spaces -(MK32 Park)                </t>
  </si>
  <si>
    <t>NB: An Allocation of R20 million is awaiting National Treasury confirmation)</t>
  </si>
  <si>
    <t>NB: Repairs to six Houses with sewer drainage problems to be addressed under OPEX in 2025/26 F/Y)</t>
  </si>
  <si>
    <t xml:space="preserve">Renewal of Sewerage Pipelines &amp; Infrastructure - South              (From Ward 992 - V/D Kemp Street)                                </t>
  </si>
  <si>
    <t xml:space="preserve">Booysen Park Hall - Ablution Upgrade       (From Ward 996)                                                         </t>
  </si>
  <si>
    <t xml:space="preserve">NB: Dealing with the Potholes will be prioritised in the Operating Budget </t>
  </si>
  <si>
    <t>What about Substation in Arcadia??? - Mr Biyela)</t>
  </si>
  <si>
    <t>[NB: Environmental authorisation is the metrowide EIA budget which is Operating Budget]</t>
  </si>
  <si>
    <t>NB: Roadmarkings for this Ward will be prioritised in the 2025/26 financial year under Operating Budget</t>
  </si>
  <si>
    <t>[NB: Considering Streetlights under E&amp;E - Mr Biyela]</t>
  </si>
  <si>
    <t xml:space="preserve">Renewal of Sewerage Pipelines &amp; Infrastructure - South                (From Ward 992)                              </t>
  </si>
  <si>
    <t xml:space="preserve">IPTS - Provision of Bus Stops and Signage        (R7.5m moved to Five Wards - 43/44/46/47&amp;49)                                                   </t>
  </si>
  <si>
    <t xml:space="preserve">IPTS - Provision of Bus Stops and Signage        (From Support Services)                                                   </t>
  </si>
  <si>
    <t xml:space="preserve">Tarring Of Gravel Roads- Priority 2        (R1m to Ward 43)                                                         </t>
  </si>
  <si>
    <t xml:space="preserve">2024 ISUP - Install 132kV/11kV 31.5MVA transformer @ Kulati Sub - Ward 22       (Xfer from Ward 28)                    </t>
  </si>
  <si>
    <t xml:space="preserve">Jeff Masemola Hall - Fencing of Hall and Caretakers Cottage     (From Ward 996)                                    </t>
  </si>
  <si>
    <t xml:space="preserve">Procure land for future cemetery (ward 99)   (Xferred to 20250351 Ward 47)                                                      </t>
  </si>
  <si>
    <t xml:space="preserve"> Upgrade and Development of Public Open Spaces - Indwe   (From Ward 999 Project Number 20240203)                                           </t>
  </si>
  <si>
    <t xml:space="preserve">Water Services: Rehabilitation of Water Pump Stations      (From Supprt Services)                                         </t>
  </si>
  <si>
    <t xml:space="preserve">Upgrade and development of public open spaces - Jakavula          (From Ward 51)                                  </t>
  </si>
  <si>
    <t xml:space="preserve">Sanitation: Rehabilitation of Pump Stations                                 (R500 000 to Ward 12 and 28 each + R1m to Ward 55)                              </t>
  </si>
  <si>
    <t xml:space="preserve">Provision of Sidewalk - Phase 25                    (From Support Services)                                                </t>
  </si>
  <si>
    <t>[NB: Gravesite &amp; Streetlights are an issue at Colchester]</t>
  </si>
  <si>
    <t xml:space="preserve">Sanitation:Upgrade at Brickfields WWTW                 (To Ward 59)                                             </t>
  </si>
  <si>
    <t>[NB: The SRAC must consider the Sportsfield as plans were are repiorted to have been approved + Taxi Rank + Wells to BBAY]</t>
  </si>
  <si>
    <t xml:space="preserve">Ward Number </t>
  </si>
  <si>
    <t>TOTAL</t>
  </si>
  <si>
    <t>INCREASE / (DECREASE)</t>
  </si>
  <si>
    <t>Ward Allocation 14 June 2025 (2025/26)</t>
  </si>
  <si>
    <t>TOTAL AMOUNT ALLOCATED TO WARDS SINCE 31 MAY 2025</t>
  </si>
  <si>
    <t xml:space="preserve">Upgrading of Verwoed Drop-off Site          (From Main Library Project Ward 5 - due to Urgency)                                                        </t>
  </si>
  <si>
    <t xml:space="preserve"> Upgrade and Development of Public Open Spaces - Maitlands  (From Main Library Project Ward 5 - Due to Urgency)                                         </t>
  </si>
  <si>
    <t>Upgrade and Restoration of Main Library - Phase 2	(NB: R3.6m to Ward 51 Drop off Site R2m and Public Open Space R1.6m)</t>
  </si>
  <si>
    <t xml:space="preserve">Construction of Coegakop Water Treatment Works (NON-MDRG)         (From Ward 991)                                  </t>
  </si>
  <si>
    <t xml:space="preserve">Motherwell NU 2 Hall -  Replacement of Roof                    (From Ward 996)                                     </t>
  </si>
  <si>
    <t xml:space="preserve">Rehabilitation of Red Location Precinct (Phase 2) - Library                     (From Ward 999)                    </t>
  </si>
  <si>
    <t>Ward Allocation at 31 March 2025 (2025/26)</t>
  </si>
  <si>
    <t>Ward Allocation at 31 May 2025 (2025/26)</t>
  </si>
  <si>
    <t xml:space="preserve">Distribution Substation Building Refurbishment Programme        6 &amp; 20       (50% - 50%)                       </t>
  </si>
  <si>
    <t xml:space="preserve"> Upgrade and Development of Public Open Spaces - Pamela                                             </t>
  </si>
  <si>
    <t xml:space="preserve">Sanitation: Rehabilitation of Pump Stations                                 (R500 000 to Ward 12)                              </t>
  </si>
  <si>
    <t xml:space="preserve">LV Line Refurbishment                                            13                         </t>
  </si>
  <si>
    <t xml:space="preserve">Upgrade and development of public open spaces - Krome Park                                           </t>
  </si>
  <si>
    <t xml:space="preserve">Reinforcement of Electricity Network- North                                      15                   </t>
  </si>
  <si>
    <t xml:space="preserve">Low Voltage Reticulation Improvement                                      20 &amp; 21       (50% - 50%)                    </t>
  </si>
  <si>
    <t xml:space="preserve">Low Voltage Reticulation Improvement                                     (50:50 Split between 20 &amp; 21)                </t>
  </si>
  <si>
    <t xml:space="preserve">Resurfacing tar roads                                 (From Ward 999)                                              </t>
  </si>
  <si>
    <t xml:space="preserve">Sanitation: Rehabilitation of Pump Stations                                 (R500 000 to Ward 12 and 30 each)                              </t>
  </si>
  <si>
    <t xml:space="preserve">E&amp;E Chelsea MV upgrade                      39 (outer year)                                           </t>
  </si>
  <si>
    <r>
      <t xml:space="preserve">Undeclared Informal Electrification (Kuyga)                         </t>
    </r>
    <r>
      <rPr>
        <b/>
        <sz val="8"/>
        <rFont val="Arial"/>
        <family val="2"/>
      </rPr>
      <t xml:space="preserve"> (Move to ward 40 from 41) </t>
    </r>
    <r>
      <rPr>
        <sz val="8"/>
        <rFont val="Arial"/>
        <family val="2"/>
      </rPr>
      <t xml:space="preserve">                                      </t>
    </r>
  </si>
  <si>
    <r>
      <t xml:space="preserve">Undeclared Informal Electrification (Joe Slovo Phase 2)              </t>
    </r>
    <r>
      <rPr>
        <b/>
        <sz val="8"/>
        <rFont val="Arial"/>
        <family val="2"/>
      </rPr>
      <t xml:space="preserve"> (Move From 40 to Ward 41)</t>
    </r>
    <r>
      <rPr>
        <sz val="8"/>
        <rFont val="Arial"/>
        <family val="2"/>
      </rPr>
      <t xml:space="preserve">                                                  </t>
    </r>
  </si>
  <si>
    <t xml:space="preserve">Substation Fibre Optic Backbone                                                  Covers All Wards                   </t>
  </si>
  <si>
    <t xml:space="preserve">Refurbishment of Power Transformers                   4, 12 &amp; 45              </t>
  </si>
  <si>
    <t xml:space="preserve">Procurement of Metering Products                                                      Covers All Wards              </t>
  </si>
  <si>
    <t xml:space="preserve">HV Line Refurbishment (66 &amp; 132KV)                                                           1 &amp; 2       </t>
  </si>
  <si>
    <t xml:space="preserve">Reinforcement of Electricity Network - Coega IDZ                                       Public Contribution         </t>
  </si>
  <si>
    <t xml:space="preserve">Public Contribution - Private Township Development                                                  </t>
  </si>
  <si>
    <t xml:space="preserve">E&amp;E- HV Circuit breakers replacement at major substations            16, 41 &amp; 45                 </t>
  </si>
  <si>
    <t xml:space="preserve">E&amp;E Miscellaneous Mains and Substations       Public contribution                                     </t>
  </si>
  <si>
    <t>Relay Replacement                                                     Covers all wards</t>
  </si>
  <si>
    <t xml:space="preserve">E&amp;E - EEDSM Energy Efficient Public Lighting            Municipal Premises                                    </t>
  </si>
  <si>
    <t xml:space="preserve">Renewable Energy projects for self consumption          Internal                                       </t>
  </si>
  <si>
    <t xml:space="preserve">MV Line Refurbishment                                          (Wards54, 57, 58  55, 56 and 59 (All Remain under 990)                                </t>
  </si>
  <si>
    <t xml:space="preserve">HV Underground Upgrade and refurbishment                          Outer year                          </t>
  </si>
  <si>
    <t xml:space="preserve">E&amp;E - MV Circuit breakers replacement at major substations  Outer year                                   </t>
  </si>
  <si>
    <t xml:space="preserve">Resurfacing tar roads                                 (R5,000,000 to be transferred to Kat Canal Project)                                              </t>
  </si>
  <si>
    <t xml:space="preserve">Reconstruction of open canals Metro wide      (R4,000,000 to be transferred to Kat Canal Project)                                      </t>
  </si>
  <si>
    <t xml:space="preserve">John Tallant Link Road: Upgrading of Old Grahamstown Road   (R4,000,000 to be transferred to Kat Canal Project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</si>
</sst>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165" fontId="4" fillId="0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Alignment="1">
      <alignment horizontal="right"/>
    </xf>
    <xf numFmtId="165" fontId="5" fillId="0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/>
    <xf numFmtId="165" fontId="5" fillId="0" borderId="0" xfId="2" applyNumberFormat="1" applyFont="1" applyFill="1" applyBorder="1" applyAlignment="1">
      <alignment horizontal="center" wrapText="1"/>
    </xf>
    <xf numFmtId="165" fontId="5" fillId="0" borderId="0" xfId="2" applyNumberFormat="1" applyFont="1" applyFill="1" applyBorder="1" applyAlignment="1">
      <alignment wrapText="1"/>
    </xf>
    <xf numFmtId="166" fontId="4" fillId="0" borderId="0" xfId="1" applyNumberFormat="1" applyFont="1" applyFill="1"/>
    <xf numFmtId="166" fontId="5" fillId="0" borderId="0" xfId="1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166" fontId="5" fillId="0" borderId="0" xfId="0" applyNumberFormat="1" applyFont="1" applyFill="1"/>
    <xf numFmtId="3" fontId="5" fillId="0" borderId="0" xfId="0" applyNumberFormat="1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wrapText="1"/>
    </xf>
    <xf numFmtId="166" fontId="4" fillId="0" borderId="17" xfId="1" applyNumberFormat="1" applyFont="1" applyFill="1" applyBorder="1"/>
    <xf numFmtId="166" fontId="4" fillId="0" borderId="22" xfId="1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6" fontId="4" fillId="0" borderId="3" xfId="0" applyNumberFormat="1" applyFont="1" applyFill="1" applyBorder="1"/>
    <xf numFmtId="166" fontId="5" fillId="0" borderId="1" xfId="0" applyNumberFormat="1" applyFont="1" applyFill="1" applyBorder="1"/>
    <xf numFmtId="3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left" wrapText="1"/>
    </xf>
    <xf numFmtId="166" fontId="4" fillId="0" borderId="0" xfId="0" applyNumberFormat="1" applyFont="1" applyFill="1"/>
    <xf numFmtId="1" fontId="5" fillId="0" borderId="0" xfId="4" applyNumberFormat="1" applyFont="1" applyFill="1" applyAlignment="1">
      <alignment horizontal="center" wrapText="1"/>
    </xf>
    <xf numFmtId="49" fontId="5" fillId="0" borderId="0" xfId="4" applyNumberFormat="1" applyFont="1" applyFill="1" applyAlignment="1">
      <alignment horizontal="left"/>
    </xf>
    <xf numFmtId="0" fontId="5" fillId="0" borderId="0" xfId="4" applyFont="1" applyFill="1" applyAlignment="1">
      <alignment horizontal="center"/>
    </xf>
    <xf numFmtId="0" fontId="5" fillId="0" borderId="0" xfId="4" applyFont="1" applyFill="1" applyAlignment="1">
      <alignment horizontal="left"/>
    </xf>
    <xf numFmtId="166" fontId="5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10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right" wrapText="1"/>
    </xf>
    <xf numFmtId="166" fontId="4" fillId="0" borderId="4" xfId="0" applyNumberFormat="1" applyFont="1" applyFill="1" applyBorder="1"/>
    <xf numFmtId="3" fontId="4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 wrapText="1"/>
    </xf>
    <xf numFmtId="165" fontId="4" fillId="0" borderId="2" xfId="2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49" fontId="5" fillId="0" borderId="0" xfId="4" applyNumberFormat="1" applyFont="1" applyFill="1" applyAlignment="1">
      <alignment horizontal="left" wrapText="1"/>
    </xf>
    <xf numFmtId="0" fontId="5" fillId="0" borderId="0" xfId="4" applyFont="1" applyFill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166" fontId="8" fillId="0" borderId="2" xfId="1" applyNumberFormat="1" applyFont="1" applyBorder="1"/>
    <xf numFmtId="167" fontId="11" fillId="0" borderId="12" xfId="0" applyNumberFormat="1" applyFont="1" applyBorder="1" applyAlignment="1">
      <alignment horizontal="center" vertical="center"/>
    </xf>
    <xf numFmtId="166" fontId="8" fillId="0" borderId="0" xfId="0" applyNumberFormat="1" applyFont="1"/>
    <xf numFmtId="0" fontId="9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horizontal="center" vertical="center"/>
    </xf>
    <xf numFmtId="166" fontId="9" fillId="0" borderId="15" xfId="0" applyNumberFormat="1" applyFont="1" applyBorder="1"/>
    <xf numFmtId="166" fontId="12" fillId="2" borderId="0" xfId="0" applyNumberFormat="1" applyFont="1" applyFill="1"/>
    <xf numFmtId="0" fontId="11" fillId="0" borderId="0" xfId="0" applyFont="1"/>
    <xf numFmtId="166" fontId="8" fillId="0" borderId="0" xfId="0" applyNumberFormat="1" applyFont="1" applyBorder="1"/>
    <xf numFmtId="0" fontId="9" fillId="0" borderId="13" xfId="0" applyFont="1" applyBorder="1" applyAlignment="1">
      <alignment horizontal="center"/>
    </xf>
    <xf numFmtId="9" fontId="10" fillId="0" borderId="16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horizontal="center"/>
    </xf>
    <xf numFmtId="166" fontId="13" fillId="0" borderId="2" xfId="1" applyNumberFormat="1" applyFont="1" applyFill="1" applyBorder="1"/>
    <xf numFmtId="166" fontId="13" fillId="0" borderId="12" xfId="1" applyNumberFormat="1" applyFont="1" applyFill="1" applyBorder="1"/>
    <xf numFmtId="0" fontId="14" fillId="0" borderId="24" xfId="0" applyFont="1" applyFill="1" applyBorder="1" applyAlignment="1">
      <alignment horizontal="center"/>
    </xf>
    <xf numFmtId="166" fontId="14" fillId="0" borderId="25" xfId="1" applyNumberFormat="1" applyFont="1" applyFill="1" applyBorder="1"/>
    <xf numFmtId="166" fontId="14" fillId="0" borderId="26" xfId="1" applyNumberFormat="1" applyFont="1" applyFill="1" applyBorder="1"/>
    <xf numFmtId="0" fontId="14" fillId="0" borderId="0" xfId="0" applyFont="1" applyFill="1"/>
    <xf numFmtId="166" fontId="14" fillId="0" borderId="0" xfId="0" applyNumberFormat="1" applyFont="1" applyFill="1"/>
    <xf numFmtId="0" fontId="14" fillId="0" borderId="0" xfId="0" applyFont="1" applyFill="1" applyAlignment="1">
      <alignment horizontal="left"/>
    </xf>
    <xf numFmtId="167" fontId="14" fillId="0" borderId="0" xfId="6" applyNumberFormat="1" applyFont="1" applyFill="1"/>
    <xf numFmtId="43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3" fontId="15" fillId="0" borderId="0" xfId="0" applyNumberFormat="1" applyFont="1" applyFill="1"/>
    <xf numFmtId="165" fontId="5" fillId="0" borderId="1" xfId="2" applyNumberFormat="1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18" xfId="1" applyNumberFormat="1" applyFont="1" applyFill="1" applyBorder="1"/>
    <xf numFmtId="166" fontId="4" fillId="0" borderId="19" xfId="1" applyNumberFormat="1" applyFont="1" applyFill="1" applyBorder="1"/>
    <xf numFmtId="0" fontId="5" fillId="0" borderId="5" xfId="0" applyFont="1" applyFill="1" applyBorder="1"/>
    <xf numFmtId="0" fontId="5" fillId="0" borderId="23" xfId="0" applyFont="1" applyFill="1" applyBorder="1"/>
    <xf numFmtId="9" fontId="5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3" fontId="5" fillId="0" borderId="0" xfId="0" applyNumberFormat="1" applyFont="1" applyFill="1" applyAlignment="1"/>
    <xf numFmtId="166" fontId="4" fillId="0" borderId="0" xfId="0" applyNumberFormat="1" applyFont="1" applyFill="1" applyBorder="1"/>
    <xf numFmtId="3" fontId="4" fillId="0" borderId="0" xfId="0" applyNumberFormat="1" applyFont="1" applyFill="1" applyAlignment="1">
      <alignment horizontal="center" vertical="center" wrapText="1"/>
    </xf>
    <xf numFmtId="9" fontId="5" fillId="0" borderId="0" xfId="6" applyFont="1" applyFill="1"/>
    <xf numFmtId="166" fontId="4" fillId="0" borderId="20" xfId="1" applyNumberFormat="1" applyFont="1" applyFill="1" applyBorder="1"/>
    <xf numFmtId="0" fontId="5" fillId="0" borderId="0" xfId="0" applyFont="1" applyFill="1" applyBorder="1"/>
    <xf numFmtId="0" fontId="5" fillId="0" borderId="21" xfId="0" applyFont="1" applyFill="1" applyBorder="1"/>
    <xf numFmtId="0" fontId="4" fillId="0" borderId="1" xfId="0" applyFont="1" applyFill="1" applyBorder="1" applyAlignment="1">
      <alignment horizontal="center" wrapText="1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7">
    <cellStyle name="Comma" xfId="1" builtinId="3"/>
    <cellStyle name="Comma 2" xfId="2" xr:uid="{DB28BAFF-E184-4FFE-B2EB-6994475F6C44}"/>
    <cellStyle name="Normal" xfId="0" builtinId="0"/>
    <cellStyle name="Normal 2" xfId="4" xr:uid="{58CEAEF5-6EE6-4027-BE87-151C2212D5FC}"/>
    <cellStyle name="Normal 3 4" xfId="5" xr:uid="{B0E30B25-5E77-4CCC-B7FA-AED5D95584F1}"/>
    <cellStyle name="Normal 4" xfId="3" xr:uid="{F68CDD19-1E2F-4E77-B02B-CEA1FFC45C0A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CLUSTER ALLOCATION SUMMARY - 2025 /</a:t>
            </a:r>
            <a:r>
              <a:rPr lang="en-US" b="1" u="sng" baseline="0"/>
              <a:t> 26</a:t>
            </a:r>
            <a:endParaRPr lang="en-US" b="1" u="sng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71824080365589"/>
          <c:y val="0.22429560762735984"/>
          <c:w val="0.71426058912723889"/>
          <c:h val="0.64952625462479829"/>
        </c:manualLayout>
      </c:layout>
      <c:pie3DChart>
        <c:varyColors val="1"/>
        <c:ser>
          <c:idx val="0"/>
          <c:order val="0"/>
          <c:tx>
            <c:strRef>
              <c:f>'Cluster Summary'!$D$2</c:f>
              <c:strCache>
                <c:ptCount val="1"/>
                <c:pt idx="0">
                  <c:v>TOTAL NUMBER OF WARDS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37-402E-A0A6-B34C9517C7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37-402E-A0A6-B34C9517C7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A37-402E-A0A6-B34C9517C7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37-402E-A0A6-B34C9517C7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A37-402E-A0A6-B34C9517C7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A37-402E-A0A6-B34C9517C710}"/>
              </c:ext>
            </c:extLst>
          </c:dPt>
          <c:dLbls>
            <c:dLbl>
              <c:idx val="0"/>
              <c:layout>
                <c:manualLayout>
                  <c:x val="7.6142131979695313E-2"/>
                  <c:y val="-8.7851405622489956E-2"/>
                </c:manualLayout>
              </c:layout>
              <c:tx>
                <c:rich>
                  <a:bodyPr/>
                  <a:lstStyle/>
                  <a:p>
                    <a:fld id="{670343DC-C995-4AEE-AF81-6192D154FA1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EF76847B-677F-4EE5-B10A-C6CB46344F7B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8DECFA34-A16F-4178-A689-7A0AA80D7C6C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A37-402E-A0A6-B34C9517C710}"/>
                </c:ext>
              </c:extLst>
            </c:dLbl>
            <c:dLbl>
              <c:idx val="1"/>
              <c:layout>
                <c:manualLayout>
                  <c:x val="3.4213098729227641E-2"/>
                  <c:y val="0"/>
                </c:manualLayout>
              </c:layout>
              <c:tx>
                <c:rich>
                  <a:bodyPr/>
                  <a:lstStyle/>
                  <a:p>
                    <a:fld id="{D0C7F778-33FA-481B-9A29-126F8D921F5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7881C1B-0276-4341-A0B8-042269F147FB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10C91CE-94C1-4427-BB0C-09CDBB85B009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A37-402E-A0A6-B34C9517C710}"/>
                </c:ext>
              </c:extLst>
            </c:dLbl>
            <c:dLbl>
              <c:idx val="2"/>
              <c:layout>
                <c:manualLayout>
                  <c:x val="8.6294416243654817E-2"/>
                  <c:y val="3.5140562248995803E-2"/>
                </c:manualLayout>
              </c:layout>
              <c:tx>
                <c:rich>
                  <a:bodyPr/>
                  <a:lstStyle/>
                  <a:p>
                    <a:fld id="{2E7DFE70-649E-4DF0-BC14-16753CB91D8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E9203A1-D08D-4442-9282-8230DEB9B7C9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4FF496B8-4D03-455D-96CD-C46A75452C53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A37-402E-A0A6-B34C9517C710}"/>
                </c:ext>
              </c:extLst>
            </c:dLbl>
            <c:dLbl>
              <c:idx val="3"/>
              <c:layout>
                <c:manualLayout>
                  <c:x val="-0.13197969543147209"/>
                  <c:y val="4.7690763052208839E-2"/>
                </c:manualLayout>
              </c:layout>
              <c:tx>
                <c:rich>
                  <a:bodyPr/>
                  <a:lstStyle/>
                  <a:p>
                    <a:fld id="{E3A5AF30-76A8-404D-BA41-C4CEA4B4BFF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49ABBF79-5014-4C78-A3CA-C80F7F530BFA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0D6ECE1-166E-46A8-AD98-3EB0E2F0093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A37-402E-A0A6-B34C9517C710}"/>
                </c:ext>
              </c:extLst>
            </c:dLbl>
            <c:dLbl>
              <c:idx val="4"/>
              <c:layout>
                <c:manualLayout>
                  <c:x val="-4.060913705583756E-2"/>
                  <c:y val="-0.19578313253012047"/>
                </c:manualLayout>
              </c:layout>
              <c:tx>
                <c:rich>
                  <a:bodyPr/>
                  <a:lstStyle/>
                  <a:p>
                    <a:fld id="{3EE7AA3D-B352-4797-A627-6F4EB4BAA44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21DA6231-D355-40A2-9C20-B12AFFFFC0A2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AB3372EC-09BA-42BD-BA0A-1D222F4739E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A37-402E-A0A6-B34C9517C710}"/>
                </c:ext>
              </c:extLst>
            </c:dLbl>
            <c:dLbl>
              <c:idx val="5"/>
              <c:layout>
                <c:manualLayout>
                  <c:x val="-0.11336717428087988"/>
                  <c:y val="-9.036144578313253E-2"/>
                </c:manualLayout>
              </c:layout>
              <c:tx>
                <c:rich>
                  <a:bodyPr/>
                  <a:lstStyle/>
                  <a:p>
                    <a:fld id="{1828AC16-8138-4878-BB76-891541A4753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1D8B029-091B-4AE0-855E-07CF1284FD79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0FD1970-7DA4-44AC-BCC8-2F2B71E9A3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A37-402E-A0A6-B34C9517C71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</c:ext>
            </c:extLst>
          </c:dLbls>
          <c:cat>
            <c:multiLvlStrRef>
              <c:f>'Cluster Summary'!$B$3:$C$8</c:f>
              <c:multiLvlStrCache>
                <c:ptCount val="6"/>
                <c:lvl>
                  <c:pt idx="0">
                    <c:v>1,2,3,4,5,6,7,8,9,12,39, and 40</c:v>
                  </c:pt>
                  <c:pt idx="1">
                    <c:v>14,15,16,17,18,19,20,21 and 22</c:v>
                  </c:pt>
                  <c:pt idx="2">
                    <c:v>10,11,13,29,31,32,34,35,37 and 38</c:v>
                  </c:pt>
                  <c:pt idx="3">
                    <c:v>24,25,26,27,28,30,33,36 and 41</c:v>
                  </c:pt>
                  <c:pt idx="4">
                    <c:v>23,53,54,55,56,57,58,59 and 60</c:v>
                  </c:pt>
                  <c:pt idx="5">
                    <c:v>42,43,44,45,46,47,48,49,50,51 and 52</c:v>
                  </c:pt>
                </c:lvl>
                <c:lvl>
                  <c:pt idx="0">
                    <c:v>Molly Blackburn</c:v>
                  </c:pt>
                  <c:pt idx="1">
                    <c:v>Govan Mbeki</c:v>
                  </c:pt>
                  <c:pt idx="2">
                    <c:v>Lillian Diedericks</c:v>
                  </c:pt>
                  <c:pt idx="3">
                    <c:v>Champion Galela</c:v>
                  </c:pt>
                  <c:pt idx="4">
                    <c:v>Alex Matikinca</c:v>
                  </c:pt>
                  <c:pt idx="5">
                    <c:v>Zola Nqini</c:v>
                  </c:pt>
                </c:lvl>
              </c:multiLvlStrCache>
            </c:multiLvlStrRef>
          </c:cat>
          <c:val>
            <c:numRef>
              <c:f>'Cluster Summary'!$D$3:$D$8</c:f>
              <c:numCache>
                <c:formatCode>General</c:formatCode>
                <c:ptCount val="6"/>
                <c:pt idx="0">
                  <c:v>12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'Cluster Summary'!$E$3:$E$8</c15:f>
                <c15:dlblRangeCache>
                  <c:ptCount val="6"/>
                  <c:pt idx="0">
                    <c:v> 159,340,460 </c:v>
                  </c:pt>
                  <c:pt idx="1">
                    <c:v> 67,724,527 </c:v>
                  </c:pt>
                  <c:pt idx="2">
                    <c:v> 174,920,513 </c:v>
                  </c:pt>
                  <c:pt idx="3">
                    <c:v> 210,736,174 </c:v>
                  </c:pt>
                  <c:pt idx="4">
                    <c:v> 172,094,285 </c:v>
                  </c:pt>
                  <c:pt idx="5">
                    <c:v> 123,621,894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5A37-402E-A0A6-B34C9517C710}"/>
            </c:ext>
          </c:extLst>
        </c:ser>
        <c:ser>
          <c:idx val="1"/>
          <c:order val="1"/>
          <c:tx>
            <c:strRef>
              <c:f>'Cluster Summary'!$E$2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5A37-402E-A0A6-B34C9517C7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5A37-402E-A0A6-B34C9517C7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5A37-402E-A0A6-B34C9517C7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5A37-402E-A0A6-B34C9517C7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5A37-402E-A0A6-B34C9517C7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5A37-402E-A0A6-B34C9517C710}"/>
              </c:ext>
            </c:extLst>
          </c:dPt>
          <c:cat>
            <c:multiLvlStrRef>
              <c:f>'Cluster Summary'!$B$3:$C$8</c:f>
              <c:multiLvlStrCache>
                <c:ptCount val="6"/>
                <c:lvl>
                  <c:pt idx="0">
                    <c:v>1,2,3,4,5,6,7,8,9,12,39, and 40</c:v>
                  </c:pt>
                  <c:pt idx="1">
                    <c:v>14,15,16,17,18,19,20,21 and 22</c:v>
                  </c:pt>
                  <c:pt idx="2">
                    <c:v>10,11,13,29,31,32,34,35,37 and 38</c:v>
                  </c:pt>
                  <c:pt idx="3">
                    <c:v>24,25,26,27,28,30,33,36 and 41</c:v>
                  </c:pt>
                  <c:pt idx="4">
                    <c:v>23,53,54,55,56,57,58,59 and 60</c:v>
                  </c:pt>
                  <c:pt idx="5">
                    <c:v>42,43,44,45,46,47,48,49,50,51 and 52</c:v>
                  </c:pt>
                </c:lvl>
                <c:lvl>
                  <c:pt idx="0">
                    <c:v>Molly Blackburn</c:v>
                  </c:pt>
                  <c:pt idx="1">
                    <c:v>Govan Mbeki</c:v>
                  </c:pt>
                  <c:pt idx="2">
                    <c:v>Lillian Diedericks</c:v>
                  </c:pt>
                  <c:pt idx="3">
                    <c:v>Champion Galela</c:v>
                  </c:pt>
                  <c:pt idx="4">
                    <c:v>Alex Matikinca</c:v>
                  </c:pt>
                  <c:pt idx="5">
                    <c:v>Zola Nqini</c:v>
                  </c:pt>
                </c:lvl>
              </c:multiLvlStrCache>
            </c:multiLvlStrRef>
          </c:cat>
          <c:val>
            <c:numRef>
              <c:f>'Cluster Summary'!$E$3:$E$8</c:f>
              <c:numCache>
                <c:formatCode>_-* #,##0_-;\-* #,##0_-;_-* "-"??_-;_-@_-</c:formatCode>
                <c:ptCount val="6"/>
                <c:pt idx="0">
                  <c:v>159340460</c:v>
                </c:pt>
                <c:pt idx="1">
                  <c:v>67724527</c:v>
                </c:pt>
                <c:pt idx="2">
                  <c:v>174920513</c:v>
                </c:pt>
                <c:pt idx="3">
                  <c:v>210736174</c:v>
                </c:pt>
                <c:pt idx="4">
                  <c:v>172094285</c:v>
                </c:pt>
                <c:pt idx="5">
                  <c:v>123621894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A37-402E-A0A6-B34C9517C710}"/>
            </c:ext>
          </c:extLst>
        </c:ser>
        <c:ser>
          <c:idx val="2"/>
          <c:order val="2"/>
          <c:tx>
            <c:strRef>
              <c:f>'Cluster Summary'!$F$2</c:f>
              <c:strCache>
                <c:ptCount val="1"/>
                <c:pt idx="0">
                  <c:v>%NTAGE vs. TOTAL ALLOCATION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5A37-402E-A0A6-B34C9517C7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5A37-402E-A0A6-B34C9517C7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5A37-402E-A0A6-B34C9517C7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5A37-402E-A0A6-B34C9517C7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5A37-402E-A0A6-B34C9517C7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5A37-402E-A0A6-B34C9517C710}"/>
              </c:ext>
            </c:extLst>
          </c:dPt>
          <c:cat>
            <c:multiLvlStrRef>
              <c:f>'Cluster Summary'!$B$3:$C$8</c:f>
              <c:multiLvlStrCache>
                <c:ptCount val="6"/>
                <c:lvl>
                  <c:pt idx="0">
                    <c:v>1,2,3,4,5,6,7,8,9,12,39, and 40</c:v>
                  </c:pt>
                  <c:pt idx="1">
                    <c:v>14,15,16,17,18,19,20,21 and 22</c:v>
                  </c:pt>
                  <c:pt idx="2">
                    <c:v>10,11,13,29,31,32,34,35,37 and 38</c:v>
                  </c:pt>
                  <c:pt idx="3">
                    <c:v>24,25,26,27,28,30,33,36 and 41</c:v>
                  </c:pt>
                  <c:pt idx="4">
                    <c:v>23,53,54,55,56,57,58,59 and 60</c:v>
                  </c:pt>
                  <c:pt idx="5">
                    <c:v>42,43,44,45,46,47,48,49,50,51 and 52</c:v>
                  </c:pt>
                </c:lvl>
                <c:lvl>
                  <c:pt idx="0">
                    <c:v>Molly Blackburn</c:v>
                  </c:pt>
                  <c:pt idx="1">
                    <c:v>Govan Mbeki</c:v>
                  </c:pt>
                  <c:pt idx="2">
                    <c:v>Lillian Diedericks</c:v>
                  </c:pt>
                  <c:pt idx="3">
                    <c:v>Champion Galela</c:v>
                  </c:pt>
                  <c:pt idx="4">
                    <c:v>Alex Matikinca</c:v>
                  </c:pt>
                  <c:pt idx="5">
                    <c:v>Zola Nqini</c:v>
                  </c:pt>
                </c:lvl>
              </c:multiLvlStrCache>
            </c:multiLvlStrRef>
          </c:cat>
          <c:val>
            <c:numRef>
              <c:f>'Cluster Summary'!$F$3:$F$8</c:f>
              <c:numCache>
                <c:formatCode>0.0%</c:formatCode>
                <c:ptCount val="6"/>
                <c:pt idx="0">
                  <c:v>0.17540050700639398</c:v>
                </c:pt>
                <c:pt idx="1">
                  <c:v>7.4550533948303008E-2</c:v>
                </c:pt>
                <c:pt idx="2">
                  <c:v>0.19255088548143096</c:v>
                </c:pt>
                <c:pt idx="3">
                  <c:v>0.23197643438576529</c:v>
                </c:pt>
                <c:pt idx="4">
                  <c:v>0.18943979979662956</c:v>
                </c:pt>
                <c:pt idx="5">
                  <c:v>0.13608183938147719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A37-402E-A0A6-B34C9517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0</xdr:row>
      <xdr:rowOff>83820</xdr:rowOff>
    </xdr:from>
    <xdr:to>
      <xdr:col>17</xdr:col>
      <xdr:colOff>381000</xdr:colOff>
      <xdr:row>28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18D408-C916-4830-93E6-DA9C65315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ngcelwane\Desktop\NMBM%2022%2002%202024\Budget%202026\Ward%20Budget%20(Noted%20Budget)%2023%2003%202025\Annexure%20A2%20-%202026%20-%202028%20Draft%20Ward-Based%20Budget%20%20-%20(23%2003%202025).xlsx" TargetMode="External"/><Relationship Id="rId1" Type="http://schemas.openxmlformats.org/officeDocument/2006/relationships/externalLinkPath" Target="file:///C:\Users\jngcelwane\Desktop\NMBM%2022%2002%202024\Budget%202026\Ward%20Budget%20(Noted%20Budget)%2023%2003%202025\Annexure%20A2%20-%202026%20-%202028%20Draft%20Ward-Based%20Budget%20%20-%20(23%2003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Cluster Summary"/>
      <sheetName val="Cluster Chart"/>
    </sheetNames>
    <sheetDataSet>
      <sheetData sheetId="0">
        <row r="14">
          <cell r="F14">
            <v>100000</v>
          </cell>
        </row>
        <row r="25">
          <cell r="F25">
            <v>6870000</v>
          </cell>
        </row>
        <row r="35">
          <cell r="F35">
            <v>2100000</v>
          </cell>
        </row>
        <row r="55">
          <cell r="F55">
            <v>66700000</v>
          </cell>
        </row>
        <row r="66">
          <cell r="F66">
            <v>20300000</v>
          </cell>
        </row>
        <row r="77">
          <cell r="F77">
            <v>700000</v>
          </cell>
        </row>
        <row r="88">
          <cell r="F88">
            <v>6450000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F1A0-3590-4921-9EE8-F2EFE6E6577E}">
  <sheetPr>
    <tabColor rgb="FFFF0000"/>
  </sheetPr>
  <dimension ref="A1:L1223"/>
  <sheetViews>
    <sheetView tabSelected="1" view="pageBreakPreview" topLeftCell="D1172" zoomScale="94" zoomScaleNormal="100" zoomScaleSheetLayoutView="94" workbookViewId="0">
      <selection activeCell="D1192" sqref="D1192"/>
    </sheetView>
  </sheetViews>
  <sheetFormatPr defaultColWidth="8.5703125" defaultRowHeight="11.25" x14ac:dyDescent="0.2"/>
  <cols>
    <col min="1" max="1" width="18.5703125" style="10" hidden="1" customWidth="1"/>
    <col min="2" max="2" width="14.42578125" style="10" hidden="1" customWidth="1"/>
    <col min="3" max="3" width="15.5703125" style="10" hidden="1" customWidth="1"/>
    <col min="4" max="4" width="9.5703125" style="9" bestFit="1" customWidth="1"/>
    <col min="5" max="5" width="78.42578125" style="10" customWidth="1"/>
    <col min="6" max="6" width="15.85546875" style="10" bestFit="1" customWidth="1"/>
    <col min="7" max="7" width="22.85546875" style="10" customWidth="1"/>
    <col min="8" max="8" width="15.42578125" style="10" bestFit="1" customWidth="1"/>
    <col min="9" max="9" width="10" style="10" bestFit="1" customWidth="1"/>
    <col min="10" max="10" width="11.42578125" style="10" bestFit="1" customWidth="1"/>
    <col min="11" max="16384" width="8.5703125" style="10"/>
  </cols>
  <sheetData>
    <row r="1" spans="1:9" ht="18" x14ac:dyDescent="0.25">
      <c r="D1" s="100" t="s">
        <v>0</v>
      </c>
      <c r="E1" s="101"/>
      <c r="F1" s="101"/>
      <c r="G1" s="101"/>
      <c r="H1" s="101"/>
      <c r="I1" s="101"/>
    </row>
    <row r="3" spans="1:9" hidden="1" x14ac:dyDescent="0.2">
      <c r="A3" s="10" t="s">
        <v>1</v>
      </c>
      <c r="F3" s="10" t="s">
        <v>2</v>
      </c>
    </row>
    <row r="4" spans="1:9" hidden="1" x14ac:dyDescent="0.2">
      <c r="A4" s="10" t="s">
        <v>3</v>
      </c>
      <c r="B4" s="10" t="s">
        <v>4</v>
      </c>
      <c r="C4" s="10" t="s">
        <v>5</v>
      </c>
      <c r="D4" s="9" t="s">
        <v>6</v>
      </c>
      <c r="E4" s="10" t="s">
        <v>7</v>
      </c>
      <c r="F4" s="10">
        <v>1</v>
      </c>
      <c r="G4" s="10">
        <v>2</v>
      </c>
      <c r="H4" s="10">
        <v>3</v>
      </c>
    </row>
    <row r="5" spans="1:9" s="12" customFormat="1" x14ac:dyDescent="0.2">
      <c r="A5" s="91" t="str">
        <f>B7</f>
        <v>WARD 1</v>
      </c>
      <c r="B5" s="91"/>
      <c r="C5" s="91"/>
      <c r="D5" s="99" t="str">
        <f>A5</f>
        <v>WARD 1</v>
      </c>
      <c r="E5" s="99"/>
      <c r="F5" s="99"/>
      <c r="G5" s="99"/>
      <c r="H5" s="99"/>
      <c r="I5" s="99"/>
    </row>
    <row r="6" spans="1:9" s="92" customFormat="1" ht="45" x14ac:dyDescent="0.2">
      <c r="D6" s="34" t="s">
        <v>8</v>
      </c>
      <c r="E6" s="35" t="s">
        <v>9</v>
      </c>
      <c r="F6" s="36" t="s">
        <v>719</v>
      </c>
      <c r="G6" s="36" t="s">
        <v>720</v>
      </c>
      <c r="H6" s="36" t="s">
        <v>721</v>
      </c>
      <c r="I6" s="35" t="s">
        <v>10</v>
      </c>
    </row>
    <row r="7" spans="1:9" x14ac:dyDescent="0.2">
      <c r="A7" s="10">
        <v>1</v>
      </c>
      <c r="B7" s="10" t="s">
        <v>11</v>
      </c>
      <c r="C7" s="10" t="s">
        <v>12</v>
      </c>
      <c r="D7" s="9">
        <v>20200289</v>
      </c>
      <c r="E7" s="10" t="s">
        <v>507</v>
      </c>
      <c r="F7" s="11">
        <v>2000000</v>
      </c>
      <c r="G7" s="11">
        <v>3500000</v>
      </c>
      <c r="H7" s="11">
        <v>3500000</v>
      </c>
    </row>
    <row r="8" spans="1:9" x14ac:dyDescent="0.2">
      <c r="D8" s="9">
        <v>20210217</v>
      </c>
      <c r="E8" s="10" t="s">
        <v>545</v>
      </c>
      <c r="F8" s="11">
        <v>4800000</v>
      </c>
      <c r="G8" s="11"/>
      <c r="H8" s="11"/>
    </row>
    <row r="9" spans="1:9" x14ac:dyDescent="0.2">
      <c r="D9" s="9">
        <v>20220119</v>
      </c>
      <c r="E9" s="10" t="s">
        <v>508</v>
      </c>
      <c r="F9" s="11">
        <v>17487850</v>
      </c>
      <c r="G9" s="11">
        <v>20628230</v>
      </c>
      <c r="H9" s="11">
        <v>1000000</v>
      </c>
    </row>
    <row r="10" spans="1:9" x14ac:dyDescent="0.2">
      <c r="D10" s="37">
        <v>20240212</v>
      </c>
      <c r="E10" s="10" t="s">
        <v>176</v>
      </c>
      <c r="F10" s="29"/>
      <c r="G10" s="29">
        <v>500000</v>
      </c>
      <c r="H10" s="29">
        <v>500000</v>
      </c>
    </row>
    <row r="11" spans="1:9" s="19" customFormat="1" x14ac:dyDescent="0.2">
      <c r="C11" s="19" t="s">
        <v>13</v>
      </c>
      <c r="D11" s="18"/>
      <c r="E11" s="19" t="str">
        <f>C11</f>
        <v>Capital Total</v>
      </c>
      <c r="F11" s="20">
        <f>SUM(F7:F10)</f>
        <v>24287850</v>
      </c>
      <c r="G11" s="20">
        <f>SUM(G7:G10)</f>
        <v>24628230</v>
      </c>
      <c r="H11" s="20">
        <f>SUM(H7:H10)</f>
        <v>5000000</v>
      </c>
    </row>
    <row r="12" spans="1:9" x14ac:dyDescent="0.2">
      <c r="C12" s="10" t="s">
        <v>14</v>
      </c>
      <c r="E12" s="10" t="s">
        <v>15</v>
      </c>
      <c r="F12" s="21">
        <v>100000</v>
      </c>
      <c r="G12" s="21">
        <v>100000</v>
      </c>
      <c r="H12" s="21">
        <v>100000</v>
      </c>
    </row>
    <row r="13" spans="1:9" s="19" customFormat="1" x14ac:dyDescent="0.2">
      <c r="B13" s="19" t="s">
        <v>16</v>
      </c>
      <c r="D13" s="22"/>
      <c r="E13" s="23" t="s">
        <v>17</v>
      </c>
      <c r="F13" s="24">
        <f>SUM(F11:F12)</f>
        <v>24387850</v>
      </c>
      <c r="G13" s="24">
        <f t="shared" ref="G13:H13" si="0">SUM(G11:G12)</f>
        <v>24728230</v>
      </c>
      <c r="H13" s="24">
        <f t="shared" si="0"/>
        <v>5100000</v>
      </c>
    </row>
    <row r="14" spans="1:9" x14ac:dyDescent="0.2">
      <c r="D14" s="22"/>
      <c r="E14" s="23"/>
      <c r="F14" s="11"/>
      <c r="G14" s="11"/>
      <c r="H14" s="11"/>
    </row>
    <row r="15" spans="1:9" s="12" customFormat="1" x14ac:dyDescent="0.2">
      <c r="A15" s="91" t="e">
        <f>#REF!</f>
        <v>#REF!</v>
      </c>
      <c r="B15" s="91"/>
      <c r="C15" s="91"/>
      <c r="D15" s="99" t="s">
        <v>18</v>
      </c>
      <c r="E15" s="99"/>
      <c r="F15" s="99"/>
      <c r="G15" s="99"/>
      <c r="H15" s="99"/>
      <c r="I15" s="99"/>
    </row>
    <row r="16" spans="1:9" s="92" customFormat="1" ht="45" x14ac:dyDescent="0.2">
      <c r="D16" s="34" t="s">
        <v>8</v>
      </c>
      <c r="E16" s="35" t="s">
        <v>9</v>
      </c>
      <c r="F16" s="36" t="s">
        <v>719</v>
      </c>
      <c r="G16" s="36" t="s">
        <v>720</v>
      </c>
      <c r="H16" s="36" t="s">
        <v>721</v>
      </c>
      <c r="I16" s="35" t="s">
        <v>10</v>
      </c>
    </row>
    <row r="17" spans="1:9" x14ac:dyDescent="0.2">
      <c r="D17" s="9">
        <v>20190154</v>
      </c>
      <c r="E17" s="10" t="s">
        <v>218</v>
      </c>
      <c r="F17" s="11">
        <v>2000000</v>
      </c>
      <c r="G17" s="11"/>
      <c r="H17" s="11"/>
    </row>
    <row r="18" spans="1:9" x14ac:dyDescent="0.2">
      <c r="D18" s="9">
        <v>20190156</v>
      </c>
      <c r="E18" s="10" t="s">
        <v>219</v>
      </c>
      <c r="F18" s="11">
        <v>500000</v>
      </c>
      <c r="G18" s="11">
        <v>500000</v>
      </c>
      <c r="H18" s="11">
        <v>500000</v>
      </c>
    </row>
    <row r="19" spans="1:9" x14ac:dyDescent="0.2">
      <c r="D19" s="9">
        <v>20200123</v>
      </c>
      <c r="E19" s="10" t="s">
        <v>220</v>
      </c>
      <c r="F19" s="11">
        <f>3270000-2000000</f>
        <v>1270000</v>
      </c>
      <c r="G19" s="11">
        <v>3270000</v>
      </c>
      <c r="H19" s="11">
        <v>3311600</v>
      </c>
    </row>
    <row r="20" spans="1:9" x14ac:dyDescent="0.2">
      <c r="D20" s="9">
        <v>20240165</v>
      </c>
      <c r="E20" s="10" t="s">
        <v>221</v>
      </c>
      <c r="F20" s="11">
        <v>1000000</v>
      </c>
      <c r="G20" s="11"/>
      <c r="H20" s="11"/>
    </row>
    <row r="21" spans="1:9" x14ac:dyDescent="0.2">
      <c r="D21" s="9">
        <v>20220106</v>
      </c>
      <c r="E21" s="10" t="s">
        <v>547</v>
      </c>
      <c r="F21" s="11">
        <v>1000000</v>
      </c>
      <c r="G21" s="11"/>
      <c r="H21" s="11"/>
    </row>
    <row r="22" spans="1:9" x14ac:dyDescent="0.2">
      <c r="D22" s="9">
        <v>20220107</v>
      </c>
      <c r="E22" s="10" t="s">
        <v>548</v>
      </c>
      <c r="F22" s="11">
        <v>1000000</v>
      </c>
      <c r="G22" s="11"/>
      <c r="H22" s="11"/>
    </row>
    <row r="23" spans="1:9" x14ac:dyDescent="0.2">
      <c r="D23" s="9">
        <v>20220109</v>
      </c>
      <c r="E23" s="10" t="s">
        <v>549</v>
      </c>
      <c r="F23" s="11">
        <v>1000000</v>
      </c>
      <c r="G23" s="11"/>
      <c r="H23" s="11"/>
    </row>
    <row r="24" spans="1:9" x14ac:dyDescent="0.2">
      <c r="D24" s="37">
        <v>20190148</v>
      </c>
      <c r="E24" s="10" t="s">
        <v>175</v>
      </c>
      <c r="F24" s="29"/>
      <c r="G24" s="29">
        <v>600000</v>
      </c>
      <c r="H24" s="29">
        <v>600000</v>
      </c>
    </row>
    <row r="25" spans="1:9" x14ac:dyDescent="0.2">
      <c r="D25" s="9">
        <v>20240122</v>
      </c>
      <c r="E25" s="10" t="s">
        <v>509</v>
      </c>
      <c r="F25" s="11"/>
      <c r="G25" s="11">
        <v>500000</v>
      </c>
      <c r="H25" s="11"/>
    </row>
    <row r="26" spans="1:9" x14ac:dyDescent="0.2">
      <c r="C26" s="10" t="s">
        <v>13</v>
      </c>
      <c r="E26" s="19" t="str">
        <f>C26</f>
        <v>Capital Total</v>
      </c>
      <c r="F26" s="20">
        <f>SUM(F17:F25)</f>
        <v>7770000</v>
      </c>
      <c r="G26" s="20">
        <f>SUM(G17:G25)</f>
        <v>4870000</v>
      </c>
      <c r="H26" s="20">
        <f>SUM(H17:H25)</f>
        <v>4411600</v>
      </c>
    </row>
    <row r="27" spans="1:9" x14ac:dyDescent="0.2">
      <c r="C27" s="10" t="s">
        <v>14</v>
      </c>
      <c r="E27" s="10" t="s">
        <v>15</v>
      </c>
      <c r="F27" s="21">
        <v>100000</v>
      </c>
      <c r="G27" s="21">
        <v>100000</v>
      </c>
      <c r="H27" s="21">
        <v>100000</v>
      </c>
    </row>
    <row r="28" spans="1:9" x14ac:dyDescent="0.2">
      <c r="B28" s="10" t="s">
        <v>19</v>
      </c>
      <c r="E28" s="23" t="s">
        <v>17</v>
      </c>
      <c r="F28" s="24">
        <f>SUM(F26:F27)</f>
        <v>7870000</v>
      </c>
      <c r="G28" s="24">
        <f>SUM(G26:G27)</f>
        <v>4970000</v>
      </c>
      <c r="H28" s="24">
        <f>SUM(H26:H27)</f>
        <v>4511600</v>
      </c>
    </row>
    <row r="29" spans="1:9" x14ac:dyDescent="0.2">
      <c r="E29" s="23"/>
      <c r="F29" s="11"/>
      <c r="G29" s="11"/>
      <c r="H29" s="11"/>
    </row>
    <row r="30" spans="1:9" s="12" customFormat="1" x14ac:dyDescent="0.2">
      <c r="A30" s="91" t="e">
        <f>#REF!</f>
        <v>#REF!</v>
      </c>
      <c r="B30" s="91"/>
      <c r="C30" s="91"/>
      <c r="D30" s="99" t="s">
        <v>20</v>
      </c>
      <c r="E30" s="99"/>
      <c r="F30" s="99"/>
      <c r="G30" s="99"/>
      <c r="H30" s="99"/>
      <c r="I30" s="99"/>
    </row>
    <row r="31" spans="1:9" s="92" customFormat="1" ht="45" x14ac:dyDescent="0.2">
      <c r="D31" s="34" t="s">
        <v>8</v>
      </c>
      <c r="E31" s="35" t="s">
        <v>9</v>
      </c>
      <c r="F31" s="36" t="s">
        <v>719</v>
      </c>
      <c r="G31" s="36" t="s">
        <v>720</v>
      </c>
      <c r="H31" s="36" t="s">
        <v>721</v>
      </c>
      <c r="I31" s="35" t="s">
        <v>10</v>
      </c>
    </row>
    <row r="32" spans="1:9" x14ac:dyDescent="0.2">
      <c r="D32" s="9">
        <v>20230192</v>
      </c>
      <c r="E32" s="10" t="s">
        <v>222</v>
      </c>
      <c r="F32" s="11">
        <v>1400000</v>
      </c>
      <c r="G32" s="11"/>
      <c r="H32" s="11"/>
    </row>
    <row r="33" spans="1:10" x14ac:dyDescent="0.2">
      <c r="D33" s="9">
        <v>20220189</v>
      </c>
      <c r="E33" s="10" t="s">
        <v>554</v>
      </c>
      <c r="F33" s="11">
        <v>100000</v>
      </c>
      <c r="G33" s="11"/>
      <c r="H33" s="11"/>
    </row>
    <row r="34" spans="1:10" x14ac:dyDescent="0.2">
      <c r="D34" s="9">
        <v>20190198</v>
      </c>
      <c r="E34" s="10" t="s">
        <v>237</v>
      </c>
      <c r="F34" s="11">
        <v>600000</v>
      </c>
      <c r="G34" s="11"/>
      <c r="H34" s="11"/>
    </row>
    <row r="35" spans="1:10" x14ac:dyDescent="0.2">
      <c r="D35" s="9">
        <v>20230277</v>
      </c>
      <c r="E35" s="10" t="s">
        <v>748</v>
      </c>
      <c r="F35" s="11">
        <v>400000</v>
      </c>
      <c r="G35" s="11"/>
      <c r="H35" s="11"/>
    </row>
    <row r="36" spans="1:10" x14ac:dyDescent="0.2">
      <c r="D36" s="9">
        <v>20210228</v>
      </c>
      <c r="E36" s="10" t="s">
        <v>224</v>
      </c>
      <c r="F36" s="11">
        <v>600000</v>
      </c>
      <c r="G36" s="11">
        <v>600000</v>
      </c>
      <c r="H36" s="11">
        <v>600000</v>
      </c>
    </row>
    <row r="37" spans="1:10" x14ac:dyDescent="0.2">
      <c r="F37" s="11"/>
      <c r="G37" s="11"/>
      <c r="H37" s="11"/>
    </row>
    <row r="38" spans="1:10" x14ac:dyDescent="0.2">
      <c r="C38" s="10" t="s">
        <v>13</v>
      </c>
      <c r="E38" s="19" t="str">
        <f>C38</f>
        <v>Capital Total</v>
      </c>
      <c r="F38" s="20">
        <f>SUM(F32:F36)</f>
        <v>3100000</v>
      </c>
      <c r="G38" s="20">
        <f t="shared" ref="G38:H38" si="1">SUM(G32:G36)</f>
        <v>600000</v>
      </c>
      <c r="H38" s="20">
        <f t="shared" si="1"/>
        <v>600000</v>
      </c>
    </row>
    <row r="39" spans="1:10" x14ac:dyDescent="0.2">
      <c r="C39" s="10" t="s">
        <v>14</v>
      </c>
      <c r="E39" s="10" t="s">
        <v>15</v>
      </c>
      <c r="F39" s="21">
        <v>100000</v>
      </c>
      <c r="G39" s="21">
        <v>100000</v>
      </c>
      <c r="H39" s="21">
        <v>100000</v>
      </c>
    </row>
    <row r="40" spans="1:10" x14ac:dyDescent="0.2">
      <c r="B40" s="10" t="s">
        <v>21</v>
      </c>
      <c r="E40" s="23" t="s">
        <v>17</v>
      </c>
      <c r="F40" s="24">
        <f>SUM(F38:F39)</f>
        <v>3200000</v>
      </c>
      <c r="G40" s="24">
        <f>SUM(G38:G39)</f>
        <v>700000</v>
      </c>
      <c r="H40" s="24">
        <f>SUM(H38:H39)</f>
        <v>700000</v>
      </c>
    </row>
    <row r="41" spans="1:10" x14ac:dyDescent="0.2">
      <c r="E41" s="23"/>
      <c r="F41" s="11"/>
      <c r="G41" s="11"/>
      <c r="H41" s="11"/>
    </row>
    <row r="42" spans="1:10" s="12" customFormat="1" x14ac:dyDescent="0.2">
      <c r="A42" s="91" t="str">
        <f>B44</f>
        <v>WARD 4</v>
      </c>
      <c r="B42" s="91"/>
      <c r="C42" s="91"/>
      <c r="D42" s="99" t="str">
        <f>A42</f>
        <v>WARD 4</v>
      </c>
      <c r="E42" s="99"/>
      <c r="F42" s="99"/>
      <c r="G42" s="99"/>
      <c r="H42" s="99"/>
      <c r="I42" s="99"/>
    </row>
    <row r="43" spans="1:10" s="92" customFormat="1" ht="45" x14ac:dyDescent="0.2">
      <c r="D43" s="34" t="s">
        <v>8</v>
      </c>
      <c r="E43" s="35" t="s">
        <v>9</v>
      </c>
      <c r="F43" s="36" t="s">
        <v>719</v>
      </c>
      <c r="G43" s="36" t="s">
        <v>720</v>
      </c>
      <c r="H43" s="36" t="s">
        <v>721</v>
      </c>
      <c r="I43" s="35" t="s">
        <v>10</v>
      </c>
    </row>
    <row r="44" spans="1:10" x14ac:dyDescent="0.2">
      <c r="A44" s="10">
        <v>4</v>
      </c>
      <c r="B44" s="10" t="s">
        <v>22</v>
      </c>
      <c r="C44" s="10" t="s">
        <v>12</v>
      </c>
      <c r="D44" s="9">
        <v>20200126</v>
      </c>
      <c r="E44" s="10" t="s">
        <v>223</v>
      </c>
      <c r="F44" s="11">
        <f>3000000-2000000</f>
        <v>1000000</v>
      </c>
      <c r="G44" s="11">
        <v>3000000</v>
      </c>
      <c r="H44" s="11">
        <v>3000000</v>
      </c>
    </row>
    <row r="45" spans="1:10" x14ac:dyDescent="0.2">
      <c r="D45" s="9">
        <v>20230122</v>
      </c>
      <c r="E45" s="10" t="s">
        <v>225</v>
      </c>
      <c r="F45" s="11">
        <v>21000000</v>
      </c>
      <c r="G45" s="11">
        <v>550000</v>
      </c>
      <c r="H45" s="11">
        <v>3000000</v>
      </c>
    </row>
    <row r="46" spans="1:10" x14ac:dyDescent="0.2">
      <c r="D46" s="9">
        <v>20230123</v>
      </c>
      <c r="E46" s="10" t="s">
        <v>226</v>
      </c>
      <c r="F46" s="11">
        <v>7000000</v>
      </c>
      <c r="G46" s="11">
        <v>550000</v>
      </c>
      <c r="H46" s="11">
        <v>1000000</v>
      </c>
    </row>
    <row r="47" spans="1:10" x14ac:dyDescent="0.2">
      <c r="D47" s="9">
        <v>20230124</v>
      </c>
      <c r="E47" s="10" t="s">
        <v>227</v>
      </c>
      <c r="F47" s="11">
        <v>4000000</v>
      </c>
      <c r="G47" s="11">
        <v>550000</v>
      </c>
      <c r="H47" s="11">
        <v>3000000</v>
      </c>
      <c r="J47" s="81"/>
    </row>
    <row r="48" spans="1:10" x14ac:dyDescent="0.2">
      <c r="D48" s="9">
        <v>20230125</v>
      </c>
      <c r="E48" s="10" t="s">
        <v>228</v>
      </c>
      <c r="F48" s="11">
        <v>8000000</v>
      </c>
      <c r="G48" s="11">
        <v>550000</v>
      </c>
      <c r="H48" s="11">
        <v>6000000</v>
      </c>
    </row>
    <row r="49" spans="2:8" x14ac:dyDescent="0.2">
      <c r="D49" s="9">
        <v>20230126</v>
      </c>
      <c r="E49" s="10" t="s">
        <v>229</v>
      </c>
      <c r="F49" s="4">
        <v>8000000</v>
      </c>
      <c r="G49" s="11">
        <v>12000000</v>
      </c>
      <c r="H49" s="11">
        <v>10509340</v>
      </c>
    </row>
    <row r="50" spans="2:8" x14ac:dyDescent="0.2">
      <c r="D50" s="9">
        <v>20230127</v>
      </c>
      <c r="E50" s="10" t="s">
        <v>230</v>
      </c>
      <c r="F50" s="5">
        <v>4000000</v>
      </c>
      <c r="G50" s="11">
        <v>6000000</v>
      </c>
      <c r="H50" s="11">
        <v>2500000</v>
      </c>
    </row>
    <row r="51" spans="2:8" x14ac:dyDescent="0.2">
      <c r="D51" s="9">
        <v>20230128</v>
      </c>
      <c r="E51" s="10" t="s">
        <v>231</v>
      </c>
      <c r="F51" s="11">
        <v>3000000</v>
      </c>
      <c r="G51" s="11">
        <v>3000000</v>
      </c>
      <c r="H51" s="11">
        <v>1500000</v>
      </c>
    </row>
    <row r="52" spans="2:8" x14ac:dyDescent="0.2">
      <c r="D52" s="9">
        <v>20230129</v>
      </c>
      <c r="E52" s="10" t="s">
        <v>232</v>
      </c>
      <c r="F52" s="11">
        <v>8000000</v>
      </c>
      <c r="G52" s="11">
        <v>9000000</v>
      </c>
      <c r="H52" s="11">
        <v>3000000</v>
      </c>
    </row>
    <row r="53" spans="2:8" x14ac:dyDescent="0.2">
      <c r="D53" s="9">
        <v>20250239</v>
      </c>
      <c r="E53" s="10" t="s">
        <v>233</v>
      </c>
      <c r="F53" s="11"/>
      <c r="G53" s="11">
        <v>13043480</v>
      </c>
      <c r="H53" s="11">
        <v>12173910</v>
      </c>
    </row>
    <row r="54" spans="2:8" x14ac:dyDescent="0.2">
      <c r="D54" s="9">
        <v>20250241</v>
      </c>
      <c r="E54" s="10" t="s">
        <v>234</v>
      </c>
      <c r="F54" s="11"/>
      <c r="G54" s="11"/>
      <c r="H54" s="11">
        <v>12173910</v>
      </c>
    </row>
    <row r="55" spans="2:8" x14ac:dyDescent="0.2">
      <c r="D55" s="82">
        <v>20240306</v>
      </c>
      <c r="E55" s="10" t="s">
        <v>586</v>
      </c>
      <c r="F55" s="11">
        <v>2608700</v>
      </c>
      <c r="G55" s="11"/>
      <c r="H55" s="11"/>
    </row>
    <row r="56" spans="2:8" x14ac:dyDescent="0.2">
      <c r="D56" s="9">
        <v>20230276</v>
      </c>
      <c r="E56" s="10" t="s">
        <v>738</v>
      </c>
      <c r="F56" s="11">
        <v>7000000</v>
      </c>
      <c r="G56" s="11"/>
      <c r="H56" s="11"/>
    </row>
    <row r="57" spans="2:8" x14ac:dyDescent="0.2">
      <c r="D57" s="9">
        <v>20250300</v>
      </c>
      <c r="E57" s="10" t="s">
        <v>617</v>
      </c>
      <c r="F57" s="11">
        <v>173910</v>
      </c>
      <c r="G57" s="11">
        <v>260870</v>
      </c>
      <c r="H57" s="11"/>
    </row>
    <row r="58" spans="2:8" x14ac:dyDescent="0.2">
      <c r="D58" s="9">
        <v>20200054</v>
      </c>
      <c r="E58" s="10" t="s">
        <v>838</v>
      </c>
      <c r="F58" s="11">
        <v>6000000</v>
      </c>
      <c r="G58" s="11"/>
      <c r="H58" s="11"/>
    </row>
    <row r="59" spans="2:8" x14ac:dyDescent="0.2">
      <c r="D59" s="9">
        <v>20230012</v>
      </c>
      <c r="E59" s="10" t="s">
        <v>280</v>
      </c>
      <c r="F59" s="11">
        <v>3000000</v>
      </c>
      <c r="G59" s="11"/>
      <c r="H59" s="11"/>
    </row>
    <row r="60" spans="2:8" x14ac:dyDescent="0.2">
      <c r="F60" s="11"/>
      <c r="G60" s="11"/>
      <c r="H60" s="11"/>
    </row>
    <row r="61" spans="2:8" x14ac:dyDescent="0.2">
      <c r="C61" s="10" t="s">
        <v>13</v>
      </c>
      <c r="E61" s="19" t="str">
        <f>C61</f>
        <v>Capital Total</v>
      </c>
      <c r="F61" s="20">
        <f>SUM(F44:F59)</f>
        <v>82782610</v>
      </c>
      <c r="G61" s="20">
        <f t="shared" ref="G61:H61" si="2">SUM(G44:G58)</f>
        <v>48504350</v>
      </c>
      <c r="H61" s="20">
        <f t="shared" si="2"/>
        <v>57857160</v>
      </c>
    </row>
    <row r="62" spans="2:8" x14ac:dyDescent="0.2">
      <c r="C62" s="10" t="s">
        <v>14</v>
      </c>
      <c r="E62" s="10" t="s">
        <v>15</v>
      </c>
      <c r="F62" s="21">
        <v>100000</v>
      </c>
      <c r="G62" s="21">
        <v>100000</v>
      </c>
      <c r="H62" s="21">
        <v>100000</v>
      </c>
    </row>
    <row r="63" spans="2:8" x14ac:dyDescent="0.2">
      <c r="B63" s="10" t="s">
        <v>23</v>
      </c>
      <c r="E63" s="23" t="s">
        <v>17</v>
      </c>
      <c r="F63" s="24">
        <f>SUM(F61:F62)</f>
        <v>82882610</v>
      </c>
      <c r="G63" s="24">
        <f>SUM(G61:G62)</f>
        <v>48604350</v>
      </c>
      <c r="H63" s="24">
        <f>SUM(H61:H62)</f>
        <v>57957160</v>
      </c>
    </row>
    <row r="64" spans="2:8" x14ac:dyDescent="0.2">
      <c r="E64" s="23"/>
      <c r="F64" s="11"/>
      <c r="G64" s="11"/>
      <c r="H64" s="11"/>
    </row>
    <row r="65" spans="1:9" s="12" customFormat="1" x14ac:dyDescent="0.2">
      <c r="A65" s="91" t="e">
        <f>#REF!</f>
        <v>#REF!</v>
      </c>
      <c r="B65" s="91"/>
      <c r="C65" s="91"/>
      <c r="D65" s="99" t="s">
        <v>24</v>
      </c>
      <c r="E65" s="99"/>
      <c r="F65" s="99"/>
      <c r="G65" s="99"/>
      <c r="H65" s="99"/>
      <c r="I65" s="99"/>
    </row>
    <row r="66" spans="1:9" s="92" customFormat="1" ht="45" x14ac:dyDescent="0.2">
      <c r="D66" s="34" t="s">
        <v>8</v>
      </c>
      <c r="E66" s="35" t="s">
        <v>9</v>
      </c>
      <c r="F66" s="36" t="s">
        <v>719</v>
      </c>
      <c r="G66" s="36" t="s">
        <v>720</v>
      </c>
      <c r="H66" s="36" t="s">
        <v>721</v>
      </c>
      <c r="I66" s="35" t="s">
        <v>10</v>
      </c>
    </row>
    <row r="67" spans="1:9" x14ac:dyDescent="0.2">
      <c r="D67" s="9">
        <v>20210297</v>
      </c>
      <c r="E67" s="10" t="s">
        <v>235</v>
      </c>
      <c r="F67" s="11">
        <v>900000</v>
      </c>
      <c r="G67" s="11"/>
      <c r="H67" s="11"/>
    </row>
    <row r="68" spans="1:9" x14ac:dyDescent="0.2">
      <c r="D68" s="9">
        <v>20230251</v>
      </c>
      <c r="E68" s="19" t="s">
        <v>875</v>
      </c>
      <c r="F68" s="11">
        <f>19300000-3600000</f>
        <v>15700000</v>
      </c>
      <c r="G68" s="11"/>
      <c r="H68" s="11"/>
    </row>
    <row r="69" spans="1:9" x14ac:dyDescent="0.2">
      <c r="F69" s="11"/>
      <c r="G69" s="11"/>
      <c r="H69" s="11"/>
    </row>
    <row r="70" spans="1:9" x14ac:dyDescent="0.2">
      <c r="C70" s="10" t="s">
        <v>13</v>
      </c>
      <c r="E70" s="19" t="str">
        <f>C70</f>
        <v>Capital Total</v>
      </c>
      <c r="F70" s="20">
        <f>SUM(F67:F69)</f>
        <v>16600000</v>
      </c>
      <c r="G70" s="20">
        <f>SUM(G67:G69)</f>
        <v>0</v>
      </c>
      <c r="H70" s="20">
        <f>SUM(H67:H69)</f>
        <v>0</v>
      </c>
    </row>
    <row r="71" spans="1:9" x14ac:dyDescent="0.2">
      <c r="C71" s="10" t="s">
        <v>14</v>
      </c>
      <c r="E71" s="10" t="s">
        <v>15</v>
      </c>
      <c r="F71" s="21">
        <v>100000</v>
      </c>
      <c r="G71" s="21">
        <v>100000</v>
      </c>
      <c r="H71" s="21">
        <v>100000</v>
      </c>
    </row>
    <row r="72" spans="1:9" x14ac:dyDescent="0.2">
      <c r="B72" s="10" t="s">
        <v>25</v>
      </c>
      <c r="E72" s="23" t="s">
        <v>17</v>
      </c>
      <c r="F72" s="24">
        <f>SUM(F70:F71)</f>
        <v>16700000</v>
      </c>
      <c r="G72" s="24">
        <f t="shared" ref="G72:H72" si="3">SUM(G70:G71)</f>
        <v>100000</v>
      </c>
      <c r="H72" s="24">
        <f t="shared" si="3"/>
        <v>100000</v>
      </c>
    </row>
    <row r="73" spans="1:9" x14ac:dyDescent="0.2">
      <c r="E73" s="23"/>
      <c r="F73" s="11"/>
      <c r="G73" s="11"/>
      <c r="H73" s="11"/>
    </row>
    <row r="74" spans="1:9" s="12" customFormat="1" x14ac:dyDescent="0.2">
      <c r="A74" s="91" t="e">
        <f>#REF!</f>
        <v>#REF!</v>
      </c>
      <c r="B74" s="91"/>
      <c r="C74" s="91"/>
      <c r="D74" s="99" t="s">
        <v>26</v>
      </c>
      <c r="E74" s="99"/>
      <c r="F74" s="99"/>
      <c r="G74" s="99"/>
      <c r="H74" s="99"/>
      <c r="I74" s="99"/>
    </row>
    <row r="75" spans="1:9" s="92" customFormat="1" ht="45" x14ac:dyDescent="0.2">
      <c r="D75" s="34" t="s">
        <v>8</v>
      </c>
      <c r="E75" s="35" t="s">
        <v>9</v>
      </c>
      <c r="F75" s="36" t="s">
        <v>719</v>
      </c>
      <c r="G75" s="36" t="s">
        <v>720</v>
      </c>
      <c r="H75" s="36" t="s">
        <v>721</v>
      </c>
      <c r="I75" s="35" t="s">
        <v>10</v>
      </c>
    </row>
    <row r="76" spans="1:9" x14ac:dyDescent="0.2">
      <c r="D76" s="9">
        <v>20200075</v>
      </c>
      <c r="E76" s="10" t="s">
        <v>238</v>
      </c>
      <c r="F76" s="11"/>
      <c r="G76" s="11"/>
      <c r="H76" s="11">
        <v>2000000</v>
      </c>
    </row>
    <row r="77" spans="1:9" x14ac:dyDescent="0.2">
      <c r="D77" s="9">
        <v>20240148</v>
      </c>
      <c r="E77" s="10" t="s">
        <v>239</v>
      </c>
      <c r="F77" s="11"/>
      <c r="G77" s="11">
        <v>1500000</v>
      </c>
      <c r="H77" s="11"/>
    </row>
    <row r="78" spans="1:9" x14ac:dyDescent="0.2">
      <c r="D78" s="9">
        <v>20170045</v>
      </c>
      <c r="E78" s="10" t="s">
        <v>881</v>
      </c>
      <c r="F78" s="11">
        <v>500000</v>
      </c>
      <c r="G78" s="11">
        <v>500000</v>
      </c>
      <c r="H78" s="11">
        <v>500000</v>
      </c>
    </row>
    <row r="79" spans="1:9" x14ac:dyDescent="0.2">
      <c r="D79" s="9">
        <v>20250343</v>
      </c>
      <c r="E79" s="10" t="s">
        <v>882</v>
      </c>
      <c r="F79" s="11"/>
      <c r="G79" s="11"/>
      <c r="H79" s="11">
        <v>1700000</v>
      </c>
    </row>
    <row r="80" spans="1:9" x14ac:dyDescent="0.2">
      <c r="D80" s="9">
        <v>20230277</v>
      </c>
      <c r="E80" s="10" t="s">
        <v>749</v>
      </c>
      <c r="F80" s="11">
        <v>500000</v>
      </c>
      <c r="G80" s="11"/>
      <c r="H80" s="11"/>
    </row>
    <row r="81" spans="1:9" x14ac:dyDescent="0.2">
      <c r="C81" s="10" t="s">
        <v>13</v>
      </c>
      <c r="E81" s="19" t="str">
        <f>C81</f>
        <v>Capital Total</v>
      </c>
      <c r="F81" s="20">
        <f>SUM(F76:F80)</f>
        <v>1000000</v>
      </c>
      <c r="G81" s="20">
        <f>SUM(G76:G80)</f>
        <v>2000000</v>
      </c>
      <c r="H81" s="20">
        <f>SUM(H76:H80)</f>
        <v>4200000</v>
      </c>
    </row>
    <row r="82" spans="1:9" x14ac:dyDescent="0.2">
      <c r="C82" s="10" t="s">
        <v>14</v>
      </c>
      <c r="E82" s="10" t="s">
        <v>15</v>
      </c>
      <c r="F82" s="21">
        <v>100000</v>
      </c>
      <c r="G82" s="21">
        <v>100000</v>
      </c>
      <c r="H82" s="21">
        <v>100000</v>
      </c>
    </row>
    <row r="83" spans="1:9" x14ac:dyDescent="0.2">
      <c r="B83" s="10" t="s">
        <v>27</v>
      </c>
      <c r="E83" s="23" t="s">
        <v>17</v>
      </c>
      <c r="F83" s="24">
        <f>SUM(F81:F82)</f>
        <v>1100000</v>
      </c>
      <c r="G83" s="24">
        <f>SUM(G81:G82)</f>
        <v>2100000</v>
      </c>
      <c r="H83" s="24">
        <f>SUM(H81:H82)</f>
        <v>4300000</v>
      </c>
    </row>
    <row r="84" spans="1:9" x14ac:dyDescent="0.2">
      <c r="E84" s="23"/>
      <c r="F84" s="11"/>
      <c r="G84" s="11"/>
      <c r="H84" s="11"/>
    </row>
    <row r="85" spans="1:9" s="12" customFormat="1" x14ac:dyDescent="0.2">
      <c r="A85" s="91" t="e">
        <f>#REF!</f>
        <v>#REF!</v>
      </c>
      <c r="B85" s="91"/>
      <c r="C85" s="91"/>
      <c r="D85" s="99" t="s">
        <v>28</v>
      </c>
      <c r="E85" s="99"/>
      <c r="F85" s="99"/>
      <c r="G85" s="99"/>
      <c r="H85" s="99"/>
      <c r="I85" s="99"/>
    </row>
    <row r="86" spans="1:9" s="92" customFormat="1" ht="45" x14ac:dyDescent="0.2">
      <c r="D86" s="34" t="s">
        <v>8</v>
      </c>
      <c r="E86" s="35" t="s">
        <v>9</v>
      </c>
      <c r="F86" s="36" t="s">
        <v>719</v>
      </c>
      <c r="G86" s="36" t="s">
        <v>720</v>
      </c>
      <c r="H86" s="36" t="s">
        <v>721</v>
      </c>
      <c r="I86" s="35" t="s">
        <v>10</v>
      </c>
    </row>
    <row r="87" spans="1:9" x14ac:dyDescent="0.2">
      <c r="D87" s="9">
        <v>20200119</v>
      </c>
      <c r="E87" s="10" t="s">
        <v>240</v>
      </c>
      <c r="F87" s="11">
        <f>1500000-1000000</f>
        <v>500000</v>
      </c>
      <c r="G87" s="11">
        <v>2500000</v>
      </c>
      <c r="H87" s="11">
        <v>2500000</v>
      </c>
    </row>
    <row r="88" spans="1:9" x14ac:dyDescent="0.2">
      <c r="D88" s="9">
        <v>20230218</v>
      </c>
      <c r="E88" s="10" t="s">
        <v>241</v>
      </c>
      <c r="F88" s="11">
        <v>1500000</v>
      </c>
      <c r="G88" s="11"/>
      <c r="H88" s="11"/>
    </row>
    <row r="89" spans="1:9" x14ac:dyDescent="0.2">
      <c r="D89" s="9">
        <v>20240121</v>
      </c>
      <c r="E89" s="38" t="s">
        <v>769</v>
      </c>
      <c r="F89" s="11">
        <v>3350000</v>
      </c>
      <c r="G89" s="11"/>
      <c r="H89" s="11"/>
    </row>
    <row r="90" spans="1:9" x14ac:dyDescent="0.2">
      <c r="F90" s="11"/>
      <c r="G90" s="11"/>
      <c r="H90" s="11"/>
    </row>
    <row r="91" spans="1:9" x14ac:dyDescent="0.2">
      <c r="C91" s="10" t="s">
        <v>13</v>
      </c>
      <c r="E91" s="19" t="str">
        <f>C91</f>
        <v>Capital Total</v>
      </c>
      <c r="F91" s="20">
        <f>SUM(F87:F90)</f>
        <v>5350000</v>
      </c>
      <c r="G91" s="20">
        <f>SUM(G87:G90)</f>
        <v>2500000</v>
      </c>
      <c r="H91" s="20">
        <f>SUM(H87:H90)</f>
        <v>2500000</v>
      </c>
    </row>
    <row r="92" spans="1:9" x14ac:dyDescent="0.2">
      <c r="C92" s="10" t="s">
        <v>14</v>
      </c>
      <c r="E92" s="10" t="s">
        <v>15</v>
      </c>
      <c r="F92" s="21">
        <v>100000</v>
      </c>
      <c r="G92" s="21">
        <v>100000</v>
      </c>
      <c r="H92" s="21">
        <v>100000</v>
      </c>
    </row>
    <row r="93" spans="1:9" x14ac:dyDescent="0.2">
      <c r="B93" s="10" t="s">
        <v>29</v>
      </c>
      <c r="E93" s="23" t="s">
        <v>17</v>
      </c>
      <c r="F93" s="24">
        <f>SUM(F91:F92)</f>
        <v>5450000</v>
      </c>
      <c r="G93" s="24">
        <f>SUM(G91:G92)</f>
        <v>2600000</v>
      </c>
      <c r="H93" s="24">
        <f>SUM(H91:H92)</f>
        <v>2600000</v>
      </c>
    </row>
    <row r="94" spans="1:9" x14ac:dyDescent="0.2">
      <c r="E94" s="23"/>
      <c r="F94" s="11"/>
      <c r="G94" s="11"/>
      <c r="H94" s="11"/>
    </row>
    <row r="95" spans="1:9" s="12" customFormat="1" x14ac:dyDescent="0.2">
      <c r="A95" s="91" t="e">
        <f>#REF!</f>
        <v>#REF!</v>
      </c>
      <c r="B95" s="91"/>
      <c r="C95" s="91"/>
      <c r="D95" s="99" t="s">
        <v>783</v>
      </c>
      <c r="E95" s="99"/>
      <c r="F95" s="99"/>
      <c r="G95" s="99"/>
      <c r="H95" s="99"/>
      <c r="I95" s="99"/>
    </row>
    <row r="96" spans="1:9" s="92" customFormat="1" ht="45" x14ac:dyDescent="0.2">
      <c r="D96" s="34" t="s">
        <v>8</v>
      </c>
      <c r="E96" s="35" t="s">
        <v>9</v>
      </c>
      <c r="F96" s="36" t="s">
        <v>719</v>
      </c>
      <c r="G96" s="36" t="s">
        <v>720</v>
      </c>
      <c r="H96" s="36" t="s">
        <v>721</v>
      </c>
      <c r="I96" s="35" t="s">
        <v>10</v>
      </c>
    </row>
    <row r="97" spans="1:9" x14ac:dyDescent="0.2">
      <c r="D97" s="9">
        <v>20250280</v>
      </c>
      <c r="E97" s="10" t="s">
        <v>834</v>
      </c>
      <c r="F97" s="11">
        <v>1900000</v>
      </c>
      <c r="G97" s="11">
        <v>500000</v>
      </c>
      <c r="H97" s="11">
        <v>1000000</v>
      </c>
    </row>
    <row r="98" spans="1:9" x14ac:dyDescent="0.2">
      <c r="F98" s="11"/>
      <c r="G98" s="11"/>
      <c r="H98" s="11"/>
    </row>
    <row r="99" spans="1:9" x14ac:dyDescent="0.2">
      <c r="C99" s="10" t="s">
        <v>13</v>
      </c>
      <c r="E99" s="19" t="str">
        <f>C99</f>
        <v>Capital Total</v>
      </c>
      <c r="F99" s="20">
        <f>SUM(F97:F98)</f>
        <v>1900000</v>
      </c>
      <c r="G99" s="20">
        <f>SUM(G97:G98)</f>
        <v>500000</v>
      </c>
      <c r="H99" s="20">
        <f>SUM(H97:H98)</f>
        <v>1000000</v>
      </c>
    </row>
    <row r="100" spans="1:9" x14ac:dyDescent="0.2">
      <c r="E100" s="19" t="s">
        <v>850</v>
      </c>
      <c r="F100" s="93"/>
      <c r="G100" s="93"/>
      <c r="H100" s="93"/>
    </row>
    <row r="101" spans="1:9" x14ac:dyDescent="0.2">
      <c r="C101" s="10" t="s">
        <v>14</v>
      </c>
      <c r="E101" s="10" t="s">
        <v>15</v>
      </c>
      <c r="F101" s="21">
        <v>100000</v>
      </c>
      <c r="G101" s="21">
        <v>100000</v>
      </c>
      <c r="H101" s="21">
        <v>100000</v>
      </c>
    </row>
    <row r="102" spans="1:9" x14ac:dyDescent="0.2">
      <c r="B102" s="10" t="s">
        <v>30</v>
      </c>
      <c r="E102" s="23" t="s">
        <v>17</v>
      </c>
      <c r="F102" s="24">
        <f>SUM(F99:F101)</f>
        <v>2000000</v>
      </c>
      <c r="G102" s="24">
        <f>SUM(G99:G101)</f>
        <v>600000</v>
      </c>
      <c r="H102" s="24">
        <f>SUM(H99:H101)</f>
        <v>1100000</v>
      </c>
    </row>
    <row r="103" spans="1:9" x14ac:dyDescent="0.2">
      <c r="E103" s="23"/>
      <c r="F103" s="11"/>
      <c r="G103" s="11"/>
      <c r="H103" s="11"/>
    </row>
    <row r="104" spans="1:9" s="12" customFormat="1" x14ac:dyDescent="0.2">
      <c r="A104" s="91" t="str">
        <f>B106</f>
        <v>WARD 9</v>
      </c>
      <c r="B104" s="91"/>
      <c r="C104" s="91"/>
      <c r="D104" s="99" t="str">
        <f>A104</f>
        <v>WARD 9</v>
      </c>
      <c r="E104" s="99"/>
      <c r="F104" s="99"/>
      <c r="G104" s="99"/>
      <c r="H104" s="99"/>
      <c r="I104" s="99"/>
    </row>
    <row r="105" spans="1:9" s="92" customFormat="1" ht="45" x14ac:dyDescent="0.2">
      <c r="D105" s="34" t="s">
        <v>8</v>
      </c>
      <c r="E105" s="35" t="s">
        <v>9</v>
      </c>
      <c r="F105" s="36" t="s">
        <v>719</v>
      </c>
      <c r="G105" s="36" t="s">
        <v>720</v>
      </c>
      <c r="H105" s="36" t="s">
        <v>721</v>
      </c>
      <c r="I105" s="35" t="s">
        <v>10</v>
      </c>
    </row>
    <row r="106" spans="1:9" x14ac:dyDescent="0.2">
      <c r="A106" s="10">
        <v>9</v>
      </c>
      <c r="B106" s="10" t="s">
        <v>31</v>
      </c>
      <c r="C106" s="10" t="s">
        <v>12</v>
      </c>
      <c r="D106" s="9">
        <v>20200128</v>
      </c>
      <c r="E106" s="10" t="s">
        <v>242</v>
      </c>
      <c r="F106" s="11">
        <f>1500000-1000000</f>
        <v>500000</v>
      </c>
      <c r="G106" s="11">
        <v>1500000</v>
      </c>
      <c r="H106" s="11">
        <v>1500000</v>
      </c>
    </row>
    <row r="107" spans="1:9" x14ac:dyDescent="0.2">
      <c r="D107" s="9">
        <v>20250245</v>
      </c>
      <c r="E107" s="10" t="s">
        <v>598</v>
      </c>
      <c r="F107" s="11">
        <v>1000000</v>
      </c>
      <c r="G107" s="11"/>
      <c r="H107" s="11"/>
    </row>
    <row r="108" spans="1:9" x14ac:dyDescent="0.2">
      <c r="D108" s="9">
        <v>20250353</v>
      </c>
      <c r="E108" s="10" t="s">
        <v>624</v>
      </c>
      <c r="F108" s="11"/>
      <c r="G108" s="11"/>
      <c r="H108" s="11">
        <v>1700000</v>
      </c>
    </row>
    <row r="109" spans="1:9" x14ac:dyDescent="0.2">
      <c r="C109" s="10" t="s">
        <v>13</v>
      </c>
      <c r="E109" s="19" t="str">
        <f>C109</f>
        <v>Capital Total</v>
      </c>
      <c r="F109" s="20">
        <f>SUM(F106:F108)</f>
        <v>1500000</v>
      </c>
      <c r="G109" s="20">
        <f>SUM(G106:G108)</f>
        <v>1500000</v>
      </c>
      <c r="H109" s="20">
        <f>SUM(H106:H108)</f>
        <v>3200000</v>
      </c>
    </row>
    <row r="110" spans="1:9" x14ac:dyDescent="0.2">
      <c r="C110" s="10" t="s">
        <v>14</v>
      </c>
      <c r="E110" s="10" t="s">
        <v>15</v>
      </c>
      <c r="F110" s="21">
        <v>100000</v>
      </c>
      <c r="G110" s="21">
        <v>100000</v>
      </c>
      <c r="H110" s="21">
        <v>100000</v>
      </c>
    </row>
    <row r="111" spans="1:9" x14ac:dyDescent="0.2">
      <c r="B111" s="10" t="s">
        <v>32</v>
      </c>
      <c r="E111" s="23" t="s">
        <v>17</v>
      </c>
      <c r="F111" s="24">
        <f>SUM(F109:F110)</f>
        <v>1600000</v>
      </c>
      <c r="G111" s="24">
        <f>SUM(G109:G110)</f>
        <v>1600000</v>
      </c>
      <c r="H111" s="24">
        <f>SUM(H109:H110)</f>
        <v>3300000</v>
      </c>
    </row>
    <row r="112" spans="1:9" x14ac:dyDescent="0.2">
      <c r="E112" s="23"/>
      <c r="F112" s="11"/>
      <c r="G112" s="11"/>
      <c r="H112" s="11"/>
    </row>
    <row r="113" spans="1:9" s="12" customFormat="1" x14ac:dyDescent="0.2">
      <c r="A113" s="91" t="str">
        <f>B115</f>
        <v>WARD 10</v>
      </c>
      <c r="B113" s="91"/>
      <c r="C113" s="91"/>
      <c r="D113" s="99" t="str">
        <f>A113</f>
        <v>WARD 10</v>
      </c>
      <c r="E113" s="99"/>
      <c r="F113" s="99"/>
      <c r="G113" s="99"/>
      <c r="H113" s="99"/>
      <c r="I113" s="99"/>
    </row>
    <row r="114" spans="1:9" s="92" customFormat="1" ht="45" x14ac:dyDescent="0.2">
      <c r="D114" s="34" t="s">
        <v>8</v>
      </c>
      <c r="E114" s="35" t="s">
        <v>9</v>
      </c>
      <c r="F114" s="36" t="s">
        <v>719</v>
      </c>
      <c r="G114" s="36" t="s">
        <v>720</v>
      </c>
      <c r="H114" s="36" t="s">
        <v>721</v>
      </c>
      <c r="I114" s="35" t="s">
        <v>10</v>
      </c>
    </row>
    <row r="115" spans="1:9" x14ac:dyDescent="0.2">
      <c r="A115" s="10">
        <v>10</v>
      </c>
      <c r="B115" s="10" t="s">
        <v>33</v>
      </c>
      <c r="C115" s="10" t="s">
        <v>12</v>
      </c>
      <c r="D115" s="9">
        <v>20230277</v>
      </c>
      <c r="E115" s="10" t="s">
        <v>813</v>
      </c>
      <c r="F115" s="2">
        <v>350000</v>
      </c>
      <c r="G115" s="11"/>
      <c r="H115" s="11"/>
    </row>
    <row r="116" spans="1:9" x14ac:dyDescent="0.2">
      <c r="D116" s="9">
        <v>20250292</v>
      </c>
      <c r="E116" s="10" t="s">
        <v>518</v>
      </c>
      <c r="F116" s="11"/>
      <c r="G116" s="11"/>
      <c r="H116" s="11">
        <v>5652170</v>
      </c>
    </row>
    <row r="117" spans="1:9" x14ac:dyDescent="0.2">
      <c r="D117" s="9">
        <v>20200188</v>
      </c>
      <c r="E117" s="10" t="s">
        <v>840</v>
      </c>
      <c r="F117" s="11">
        <v>5520000</v>
      </c>
      <c r="G117" s="11"/>
      <c r="H117" s="11"/>
    </row>
    <row r="118" spans="1:9" x14ac:dyDescent="0.2">
      <c r="D118" s="9">
        <v>20250221</v>
      </c>
      <c r="E118" s="10" t="s">
        <v>593</v>
      </c>
      <c r="F118" s="11"/>
      <c r="G118" s="11">
        <v>1000000</v>
      </c>
      <c r="H118" s="11"/>
    </row>
    <row r="119" spans="1:9" x14ac:dyDescent="0.2">
      <c r="D119" s="9">
        <v>20250215</v>
      </c>
      <c r="E119" s="10" t="s">
        <v>772</v>
      </c>
      <c r="F119" s="11">
        <v>683910</v>
      </c>
      <c r="G119" s="11"/>
      <c r="H119" s="11"/>
    </row>
    <row r="120" spans="1:9" x14ac:dyDescent="0.2">
      <c r="A120" s="9">
        <v>20200188</v>
      </c>
      <c r="B120" s="10" t="s">
        <v>818</v>
      </c>
      <c r="C120" s="11">
        <f>2925000+3825000</f>
        <v>6750000</v>
      </c>
      <c r="F120" s="11"/>
      <c r="G120" s="11"/>
      <c r="H120" s="11"/>
    </row>
    <row r="121" spans="1:9" x14ac:dyDescent="0.2">
      <c r="C121" s="10" t="s">
        <v>13</v>
      </c>
      <c r="E121" s="19" t="str">
        <f>C121</f>
        <v>Capital Total</v>
      </c>
      <c r="F121" s="20">
        <f>SUM(F115:F120)</f>
        <v>6553910</v>
      </c>
      <c r="G121" s="20">
        <f>SUM(G115:G120)</f>
        <v>1000000</v>
      </c>
      <c r="H121" s="20">
        <f>SUM(H115:H120)</f>
        <v>5652170</v>
      </c>
    </row>
    <row r="122" spans="1:9" x14ac:dyDescent="0.2">
      <c r="C122" s="10" t="s">
        <v>14</v>
      </c>
      <c r="E122" s="10" t="s">
        <v>15</v>
      </c>
      <c r="F122" s="21">
        <v>100000</v>
      </c>
      <c r="G122" s="21">
        <v>100000</v>
      </c>
      <c r="H122" s="21">
        <v>100000</v>
      </c>
    </row>
    <row r="123" spans="1:9" x14ac:dyDescent="0.2">
      <c r="B123" s="10" t="s">
        <v>34</v>
      </c>
      <c r="E123" s="23" t="s">
        <v>17</v>
      </c>
      <c r="F123" s="24">
        <f>SUM(F121:F122)</f>
        <v>6653910</v>
      </c>
      <c r="G123" s="24">
        <f>SUM(G121:G122)</f>
        <v>1100000</v>
      </c>
      <c r="H123" s="24">
        <f>SUM(H121:H122)</f>
        <v>5752170</v>
      </c>
    </row>
    <row r="124" spans="1:9" x14ac:dyDescent="0.2">
      <c r="E124" s="23"/>
      <c r="F124" s="11"/>
      <c r="G124" s="11"/>
      <c r="H124" s="11"/>
    </row>
    <row r="125" spans="1:9" s="12" customFormat="1" x14ac:dyDescent="0.2">
      <c r="A125" s="91" t="e">
        <f>#REF!</f>
        <v>#REF!</v>
      </c>
      <c r="B125" s="91"/>
      <c r="C125" s="91"/>
      <c r="D125" s="99" t="s">
        <v>35</v>
      </c>
      <c r="E125" s="99"/>
      <c r="F125" s="99"/>
      <c r="G125" s="99"/>
      <c r="H125" s="99"/>
      <c r="I125" s="99"/>
    </row>
    <row r="126" spans="1:9" s="92" customFormat="1" ht="45" x14ac:dyDescent="0.2">
      <c r="D126" s="34" t="s">
        <v>8</v>
      </c>
      <c r="E126" s="35" t="s">
        <v>9</v>
      </c>
      <c r="F126" s="36" t="s">
        <v>719</v>
      </c>
      <c r="G126" s="36" t="s">
        <v>720</v>
      </c>
      <c r="H126" s="36" t="s">
        <v>721</v>
      </c>
      <c r="I126" s="35" t="s">
        <v>10</v>
      </c>
    </row>
    <row r="127" spans="1:9" x14ac:dyDescent="0.2">
      <c r="D127" s="9">
        <v>20200117</v>
      </c>
      <c r="E127" s="10" t="s">
        <v>243</v>
      </c>
      <c r="F127" s="11">
        <f>1700000-1000000</f>
        <v>700000</v>
      </c>
      <c r="G127" s="11">
        <v>3000000</v>
      </c>
      <c r="H127" s="11">
        <v>2000000</v>
      </c>
    </row>
    <row r="128" spans="1:9" x14ac:dyDescent="0.2">
      <c r="D128" s="9">
        <v>20240166</v>
      </c>
      <c r="E128" s="10" t="s">
        <v>244</v>
      </c>
      <c r="F128" s="11">
        <v>1000000</v>
      </c>
      <c r="G128" s="11"/>
      <c r="H128" s="11"/>
    </row>
    <row r="129" spans="1:9" x14ac:dyDescent="0.2">
      <c r="D129" s="9">
        <v>20230276</v>
      </c>
      <c r="E129" s="10" t="s">
        <v>739</v>
      </c>
      <c r="F129" s="11">
        <v>1000000</v>
      </c>
      <c r="G129" s="11"/>
      <c r="H129" s="11"/>
    </row>
    <row r="130" spans="1:9" x14ac:dyDescent="0.2">
      <c r="C130" s="10" t="s">
        <v>13</v>
      </c>
      <c r="E130" s="19" t="str">
        <f>C130</f>
        <v>Capital Total</v>
      </c>
      <c r="F130" s="20">
        <f>SUM(F127:F129)</f>
        <v>2700000</v>
      </c>
      <c r="G130" s="20">
        <f>SUM(G127:G129)</f>
        <v>3000000</v>
      </c>
      <c r="H130" s="20">
        <f>SUM(H127:H129)</f>
        <v>2000000</v>
      </c>
    </row>
    <row r="131" spans="1:9" x14ac:dyDescent="0.2">
      <c r="C131" s="10" t="s">
        <v>14</v>
      </c>
      <c r="E131" s="10" t="s">
        <v>15</v>
      </c>
      <c r="F131" s="21">
        <v>100000</v>
      </c>
      <c r="G131" s="21">
        <v>100000</v>
      </c>
      <c r="H131" s="21">
        <v>100000</v>
      </c>
    </row>
    <row r="132" spans="1:9" x14ac:dyDescent="0.2">
      <c r="B132" s="10" t="s">
        <v>36</v>
      </c>
      <c r="E132" s="23" t="s">
        <v>17</v>
      </c>
      <c r="F132" s="24">
        <f>SUM(F130:F131)</f>
        <v>2800000</v>
      </c>
      <c r="G132" s="24">
        <f>SUM(G130:G131)</f>
        <v>3100000</v>
      </c>
      <c r="H132" s="24">
        <f>SUM(H130:H131)</f>
        <v>2100000</v>
      </c>
    </row>
    <row r="133" spans="1:9" x14ac:dyDescent="0.2">
      <c r="E133" s="23"/>
      <c r="F133" s="11"/>
      <c r="G133" s="11"/>
      <c r="H133" s="11"/>
    </row>
    <row r="134" spans="1:9" s="12" customFormat="1" x14ac:dyDescent="0.2">
      <c r="A134" s="91" t="e">
        <f>#REF!</f>
        <v>#REF!</v>
      </c>
      <c r="B134" s="91"/>
      <c r="C134" s="91"/>
      <c r="D134" s="99" t="s">
        <v>37</v>
      </c>
      <c r="E134" s="99"/>
      <c r="F134" s="99"/>
      <c r="G134" s="99"/>
      <c r="H134" s="99"/>
      <c r="I134" s="99"/>
    </row>
    <row r="135" spans="1:9" s="92" customFormat="1" ht="45" x14ac:dyDescent="0.2">
      <c r="D135" s="34" t="s">
        <v>8</v>
      </c>
      <c r="E135" s="35" t="s">
        <v>9</v>
      </c>
      <c r="F135" s="36" t="s">
        <v>719</v>
      </c>
      <c r="G135" s="36" t="s">
        <v>720</v>
      </c>
      <c r="H135" s="36" t="s">
        <v>721</v>
      </c>
      <c r="I135" s="35" t="s">
        <v>10</v>
      </c>
    </row>
    <row r="136" spans="1:9" x14ac:dyDescent="0.2">
      <c r="D136" s="9">
        <v>20240150</v>
      </c>
      <c r="E136" s="10" t="s">
        <v>712</v>
      </c>
      <c r="F136" s="11"/>
      <c r="G136" s="11">
        <v>1800000</v>
      </c>
      <c r="H136" s="11"/>
    </row>
    <row r="137" spans="1:9" x14ac:dyDescent="0.2">
      <c r="D137" s="9">
        <v>20190257</v>
      </c>
      <c r="E137" s="10" t="s">
        <v>883</v>
      </c>
      <c r="F137" s="11">
        <v>500000</v>
      </c>
      <c r="G137" s="11"/>
      <c r="H137" s="11"/>
    </row>
    <row r="138" spans="1:9" x14ac:dyDescent="0.2">
      <c r="D138" s="9">
        <v>20240142</v>
      </c>
      <c r="E138" s="10" t="s">
        <v>513</v>
      </c>
      <c r="F138" s="11"/>
      <c r="G138" s="11">
        <v>1000000</v>
      </c>
      <c r="H138" s="11">
        <v>2000000</v>
      </c>
    </row>
    <row r="139" spans="1:9" x14ac:dyDescent="0.2">
      <c r="F139" s="11"/>
      <c r="G139" s="11"/>
      <c r="H139" s="11"/>
    </row>
    <row r="140" spans="1:9" x14ac:dyDescent="0.2">
      <c r="C140" s="10" t="s">
        <v>13</v>
      </c>
      <c r="E140" s="19" t="str">
        <f>C140</f>
        <v>Capital Total</v>
      </c>
      <c r="F140" s="20">
        <f>SUM(F136:F139)</f>
        <v>500000</v>
      </c>
      <c r="G140" s="20">
        <f>SUM(G136:G139)</f>
        <v>2800000</v>
      </c>
      <c r="H140" s="20">
        <f>SUM(H136:H139)</f>
        <v>2000000</v>
      </c>
    </row>
    <row r="141" spans="1:9" x14ac:dyDescent="0.2">
      <c r="C141" s="10" t="s">
        <v>14</v>
      </c>
      <c r="E141" s="10" t="s">
        <v>15</v>
      </c>
      <c r="F141" s="21">
        <v>100000</v>
      </c>
      <c r="G141" s="21">
        <v>100000</v>
      </c>
      <c r="H141" s="21">
        <v>100000</v>
      </c>
    </row>
    <row r="142" spans="1:9" x14ac:dyDescent="0.2">
      <c r="B142" s="10" t="s">
        <v>38</v>
      </c>
      <c r="E142" s="23" t="s">
        <v>17</v>
      </c>
      <c r="F142" s="24">
        <f>SUM(F140:F141)</f>
        <v>600000</v>
      </c>
      <c r="G142" s="24">
        <f>SUM(G140:G141)</f>
        <v>2900000</v>
      </c>
      <c r="H142" s="24">
        <f>SUM(H140:H141)</f>
        <v>2100000</v>
      </c>
    </row>
    <row r="144" spans="1:9" s="12" customFormat="1" x14ac:dyDescent="0.2">
      <c r="A144" s="91" t="e">
        <f>#REF!</f>
        <v>#REF!</v>
      </c>
      <c r="B144" s="91"/>
      <c r="C144" s="91"/>
      <c r="D144" s="99" t="s">
        <v>39</v>
      </c>
      <c r="E144" s="99"/>
      <c r="F144" s="99"/>
      <c r="G144" s="99"/>
      <c r="H144" s="99"/>
      <c r="I144" s="99"/>
    </row>
    <row r="145" spans="1:9" s="92" customFormat="1" ht="45" x14ac:dyDescent="0.2">
      <c r="D145" s="34" t="s">
        <v>8</v>
      </c>
      <c r="E145" s="35" t="s">
        <v>9</v>
      </c>
      <c r="F145" s="36" t="s">
        <v>719</v>
      </c>
      <c r="G145" s="36" t="s">
        <v>720</v>
      </c>
      <c r="H145" s="36" t="s">
        <v>721</v>
      </c>
      <c r="I145" s="35" t="s">
        <v>10</v>
      </c>
    </row>
    <row r="146" spans="1:9" x14ac:dyDescent="0.2">
      <c r="D146" s="9">
        <v>20230214</v>
      </c>
      <c r="E146" s="10" t="s">
        <v>245</v>
      </c>
      <c r="F146" s="11">
        <v>1200000</v>
      </c>
      <c r="G146" s="11"/>
      <c r="H146" s="11"/>
    </row>
    <row r="147" spans="1:9" x14ac:dyDescent="0.2">
      <c r="D147" s="9">
        <v>20250243</v>
      </c>
      <c r="E147" s="10" t="s">
        <v>597</v>
      </c>
      <c r="F147" s="11">
        <v>1500000</v>
      </c>
      <c r="G147" s="11">
        <v>1000000</v>
      </c>
      <c r="H147" s="11"/>
    </row>
    <row r="148" spans="1:9" x14ac:dyDescent="0.2">
      <c r="D148" s="9">
        <v>20240171</v>
      </c>
      <c r="E148" s="10" t="s">
        <v>884</v>
      </c>
      <c r="F148" s="11">
        <v>2000000</v>
      </c>
      <c r="G148" s="11">
        <v>700000</v>
      </c>
      <c r="H148" s="11">
        <v>700000</v>
      </c>
    </row>
    <row r="149" spans="1:9" x14ac:dyDescent="0.2">
      <c r="D149" s="9">
        <v>20250287</v>
      </c>
      <c r="E149" s="10" t="s">
        <v>613</v>
      </c>
      <c r="F149" s="11"/>
      <c r="G149" s="11">
        <v>3304350</v>
      </c>
      <c r="H149" s="11"/>
    </row>
    <row r="150" spans="1:9" x14ac:dyDescent="0.2">
      <c r="C150" s="10" t="s">
        <v>13</v>
      </c>
      <c r="E150" s="19" t="str">
        <f>C150</f>
        <v>Capital Total</v>
      </c>
      <c r="F150" s="20">
        <f>SUM(F146:F149)</f>
        <v>4700000</v>
      </c>
      <c r="G150" s="20">
        <f t="shared" ref="G150:H150" si="4">SUM(G146:G149)</f>
        <v>5004350</v>
      </c>
      <c r="H150" s="20">
        <f t="shared" si="4"/>
        <v>700000</v>
      </c>
    </row>
    <row r="151" spans="1:9" x14ac:dyDescent="0.2">
      <c r="C151" s="10" t="s">
        <v>14</v>
      </c>
      <c r="E151" s="10" t="s">
        <v>15</v>
      </c>
      <c r="F151" s="21">
        <v>100000</v>
      </c>
      <c r="G151" s="21">
        <v>100000</v>
      </c>
      <c r="H151" s="21">
        <v>100000</v>
      </c>
    </row>
    <row r="152" spans="1:9" x14ac:dyDescent="0.2">
      <c r="B152" s="10" t="s">
        <v>40</v>
      </c>
      <c r="E152" s="23" t="s">
        <v>17</v>
      </c>
      <c r="F152" s="24">
        <f>SUM(F150:F151)</f>
        <v>4800000</v>
      </c>
      <c r="G152" s="24">
        <f t="shared" ref="G152:H152" si="5">SUM(G150:G151)</f>
        <v>5104350</v>
      </c>
      <c r="H152" s="24">
        <f t="shared" si="5"/>
        <v>800000</v>
      </c>
    </row>
    <row r="153" spans="1:9" x14ac:dyDescent="0.2">
      <c r="E153" s="23"/>
      <c r="F153" s="11"/>
      <c r="G153" s="11"/>
      <c r="H153" s="11"/>
    </row>
    <row r="154" spans="1:9" s="12" customFormat="1" x14ac:dyDescent="0.2">
      <c r="A154" s="91" t="str">
        <f>B168</f>
        <v>WARD 14</v>
      </c>
      <c r="B154" s="91"/>
      <c r="C154" s="91"/>
      <c r="D154" s="99" t="str">
        <f>A154</f>
        <v>WARD 14</v>
      </c>
      <c r="E154" s="99"/>
      <c r="F154" s="99"/>
      <c r="G154" s="99"/>
      <c r="H154" s="99"/>
      <c r="I154" s="99"/>
    </row>
    <row r="155" spans="1:9" s="92" customFormat="1" ht="45" x14ac:dyDescent="0.2">
      <c r="D155" s="34" t="s">
        <v>8</v>
      </c>
      <c r="E155" s="35" t="s">
        <v>9</v>
      </c>
      <c r="F155" s="36" t="s">
        <v>719</v>
      </c>
      <c r="G155" s="36" t="s">
        <v>720</v>
      </c>
      <c r="H155" s="36" t="s">
        <v>721</v>
      </c>
      <c r="I155" s="35" t="s">
        <v>10</v>
      </c>
    </row>
    <row r="156" spans="1:9" x14ac:dyDescent="0.2">
      <c r="D156" s="9">
        <v>20220117</v>
      </c>
      <c r="E156" s="10" t="s">
        <v>837</v>
      </c>
      <c r="F156" s="11">
        <v>5000000</v>
      </c>
      <c r="G156" s="11"/>
      <c r="H156" s="11"/>
    </row>
    <row r="157" spans="1:9" x14ac:dyDescent="0.2">
      <c r="D157" s="9">
        <v>20220183</v>
      </c>
      <c r="E157" s="10" t="s">
        <v>553</v>
      </c>
      <c r="F157" s="11">
        <v>1000000</v>
      </c>
      <c r="G157" s="11">
        <v>1000000</v>
      </c>
      <c r="H157" s="11">
        <v>7000000</v>
      </c>
    </row>
    <row r="158" spans="1:9" ht="15" x14ac:dyDescent="0.25">
      <c r="D158" s="9">
        <v>20240154</v>
      </c>
      <c r="E158" s="10" t="s">
        <v>885</v>
      </c>
      <c r="G158" s="11">
        <v>1600000</v>
      </c>
      <c r="H158" s="83"/>
    </row>
    <row r="159" spans="1:9" x14ac:dyDescent="0.2">
      <c r="D159" s="9">
        <v>20240208</v>
      </c>
      <c r="E159" s="10" t="s">
        <v>815</v>
      </c>
      <c r="F159" s="11"/>
      <c r="G159" s="11">
        <v>500000</v>
      </c>
      <c r="H159" s="11">
        <v>500000</v>
      </c>
    </row>
    <row r="160" spans="1:9" x14ac:dyDescent="0.2">
      <c r="D160" s="9">
        <v>20240229</v>
      </c>
      <c r="E160" s="10" t="s">
        <v>816</v>
      </c>
      <c r="F160" s="11"/>
      <c r="G160" s="11">
        <v>500000</v>
      </c>
      <c r="H160" s="11">
        <v>500000</v>
      </c>
    </row>
    <row r="161" spans="1:9" x14ac:dyDescent="0.2">
      <c r="D161" s="9">
        <v>20250370</v>
      </c>
      <c r="E161" s="10" t="s">
        <v>781</v>
      </c>
      <c r="F161" s="11">
        <v>2000000</v>
      </c>
      <c r="G161" s="11">
        <v>2000000</v>
      </c>
      <c r="H161" s="11">
        <v>2000000</v>
      </c>
    </row>
    <row r="162" spans="1:9" x14ac:dyDescent="0.2">
      <c r="C162" s="10" t="s">
        <v>13</v>
      </c>
      <c r="E162" s="19" t="str">
        <f>C162</f>
        <v>Capital Total</v>
      </c>
      <c r="F162" s="20">
        <f>SUM(F156:F161)</f>
        <v>8000000</v>
      </c>
      <c r="G162" s="20">
        <f>SUM(G156:G161)</f>
        <v>5600000</v>
      </c>
      <c r="H162" s="20">
        <f>SUM(H156:H161)</f>
        <v>10000000</v>
      </c>
    </row>
    <row r="163" spans="1:9" x14ac:dyDescent="0.2">
      <c r="C163" s="10" t="s">
        <v>14</v>
      </c>
      <c r="E163" s="10" t="s">
        <v>15</v>
      </c>
      <c r="F163" s="21">
        <v>100000</v>
      </c>
      <c r="G163" s="21">
        <v>100000</v>
      </c>
      <c r="H163" s="21">
        <v>100000</v>
      </c>
    </row>
    <row r="164" spans="1:9" x14ac:dyDescent="0.2">
      <c r="B164" s="10" t="s">
        <v>43</v>
      </c>
      <c r="E164" s="23" t="s">
        <v>17</v>
      </c>
      <c r="F164" s="24">
        <f>SUM(F162:F163)</f>
        <v>8100000</v>
      </c>
      <c r="G164" s="24">
        <f t="shared" ref="G164:H164" si="6">SUM(G162:G163)</f>
        <v>5700000</v>
      </c>
      <c r="H164" s="24">
        <f t="shared" si="6"/>
        <v>10100000</v>
      </c>
    </row>
    <row r="165" spans="1:9" x14ac:dyDescent="0.2">
      <c r="E165" s="23"/>
      <c r="F165" s="11"/>
      <c r="G165" s="11"/>
      <c r="H165" s="11"/>
    </row>
    <row r="166" spans="1:9" s="12" customFormat="1" x14ac:dyDescent="0.2">
      <c r="A166" s="91" t="e">
        <f>#REF!</f>
        <v>#REF!</v>
      </c>
      <c r="B166" s="91"/>
      <c r="C166" s="91"/>
      <c r="D166" s="99" t="s">
        <v>716</v>
      </c>
      <c r="E166" s="99"/>
      <c r="F166" s="99"/>
      <c r="G166" s="99"/>
      <c r="H166" s="99"/>
      <c r="I166" s="99"/>
    </row>
    <row r="167" spans="1:9" s="92" customFormat="1" ht="45" x14ac:dyDescent="0.2">
      <c r="D167" s="34" t="s">
        <v>8</v>
      </c>
      <c r="E167" s="35" t="s">
        <v>9</v>
      </c>
      <c r="F167" s="36" t="s">
        <v>719</v>
      </c>
      <c r="G167" s="36" t="s">
        <v>720</v>
      </c>
      <c r="H167" s="36" t="s">
        <v>721</v>
      </c>
      <c r="I167" s="35" t="s">
        <v>10</v>
      </c>
    </row>
    <row r="168" spans="1:9" x14ac:dyDescent="0.2">
      <c r="A168" s="10">
        <v>14</v>
      </c>
      <c r="B168" s="10" t="s">
        <v>41</v>
      </c>
      <c r="C168" s="10" t="s">
        <v>12</v>
      </c>
      <c r="D168" s="9">
        <v>20200333</v>
      </c>
      <c r="E168" s="10" t="s">
        <v>42</v>
      </c>
      <c r="F168" s="11">
        <v>2500000</v>
      </c>
      <c r="G168" s="11"/>
      <c r="H168" s="11"/>
    </row>
    <row r="169" spans="1:9" x14ac:dyDescent="0.2">
      <c r="D169" s="9">
        <v>20220146</v>
      </c>
      <c r="E169" s="10" t="s">
        <v>552</v>
      </c>
      <c r="F169" s="11">
        <v>2900000</v>
      </c>
      <c r="G169" s="11"/>
      <c r="H169" s="11"/>
    </row>
    <row r="170" spans="1:9" x14ac:dyDescent="0.2">
      <c r="D170" s="9">
        <v>20250212</v>
      </c>
      <c r="E170" s="10" t="s">
        <v>236</v>
      </c>
      <c r="F170" s="11"/>
      <c r="G170" s="11"/>
      <c r="H170" s="11">
        <v>3000000</v>
      </c>
    </row>
    <row r="171" spans="1:9" x14ac:dyDescent="0.2">
      <c r="D171" s="9">
        <v>20230254</v>
      </c>
      <c r="E171" s="10" t="s">
        <v>246</v>
      </c>
      <c r="F171" s="11"/>
      <c r="G171" s="11">
        <v>5000000</v>
      </c>
      <c r="H171" s="11">
        <v>10000000</v>
      </c>
    </row>
    <row r="172" spans="1:9" x14ac:dyDescent="0.2">
      <c r="D172" s="9">
        <v>20200113</v>
      </c>
      <c r="E172" s="10" t="s">
        <v>886</v>
      </c>
      <c r="F172" s="11">
        <v>1000000</v>
      </c>
      <c r="G172" s="11">
        <v>1000000</v>
      </c>
      <c r="H172" s="11">
        <v>1000000</v>
      </c>
    </row>
    <row r="173" spans="1:9" x14ac:dyDescent="0.2">
      <c r="D173" s="9">
        <v>20240232</v>
      </c>
      <c r="E173" s="10" t="s">
        <v>247</v>
      </c>
      <c r="F173" s="11"/>
      <c r="G173" s="11">
        <v>500000</v>
      </c>
      <c r="H173" s="11">
        <v>500000</v>
      </c>
    </row>
    <row r="174" spans="1:9" x14ac:dyDescent="0.2">
      <c r="D174" s="9">
        <v>20230276</v>
      </c>
      <c r="E174" s="10" t="s">
        <v>731</v>
      </c>
      <c r="F174" s="11">
        <v>1670000</v>
      </c>
      <c r="G174" s="11"/>
      <c r="H174" s="11"/>
    </row>
    <row r="175" spans="1:9" x14ac:dyDescent="0.2">
      <c r="D175" s="9">
        <v>20230253</v>
      </c>
      <c r="E175" s="10" t="s">
        <v>878</v>
      </c>
      <c r="F175" s="11">
        <v>1500000</v>
      </c>
      <c r="G175" s="11"/>
      <c r="H175" s="11"/>
    </row>
    <row r="176" spans="1:9" x14ac:dyDescent="0.2">
      <c r="C176" s="10" t="s">
        <v>13</v>
      </c>
      <c r="E176" s="19" t="str">
        <f>C176</f>
        <v>Capital Total</v>
      </c>
      <c r="F176" s="20">
        <f>SUM(F168:F175)</f>
        <v>9570000</v>
      </c>
      <c r="G176" s="20">
        <f t="shared" ref="G176:H176" si="7">SUM(G168:G175)</f>
        <v>6500000</v>
      </c>
      <c r="H176" s="20">
        <f t="shared" si="7"/>
        <v>14500000</v>
      </c>
    </row>
    <row r="177" spans="1:9" x14ac:dyDescent="0.2">
      <c r="C177" s="10" t="s">
        <v>14</v>
      </c>
      <c r="E177" s="10" t="s">
        <v>15</v>
      </c>
      <c r="F177" s="21">
        <v>100000</v>
      </c>
      <c r="G177" s="21">
        <v>100000</v>
      </c>
      <c r="H177" s="21">
        <v>100000</v>
      </c>
    </row>
    <row r="178" spans="1:9" x14ac:dyDescent="0.2">
      <c r="B178" s="10" t="s">
        <v>44</v>
      </c>
      <c r="E178" s="23" t="s">
        <v>17</v>
      </c>
      <c r="F178" s="24">
        <f>SUM(F176:F177)</f>
        <v>9670000</v>
      </c>
      <c r="G178" s="24">
        <f t="shared" ref="G178:H178" si="8">SUM(G176:G177)</f>
        <v>6600000</v>
      </c>
      <c r="H178" s="24">
        <f t="shared" si="8"/>
        <v>14600000</v>
      </c>
    </row>
    <row r="179" spans="1:9" x14ac:dyDescent="0.2">
      <c r="E179" s="23"/>
      <c r="F179" s="11"/>
      <c r="G179" s="11"/>
      <c r="H179" s="11"/>
    </row>
    <row r="180" spans="1:9" s="12" customFormat="1" x14ac:dyDescent="0.2">
      <c r="A180" s="91" t="e">
        <f>#REF!</f>
        <v>#REF!</v>
      </c>
      <c r="B180" s="91"/>
      <c r="C180" s="91"/>
      <c r="D180" s="99" t="s">
        <v>45</v>
      </c>
      <c r="E180" s="99"/>
      <c r="F180" s="99"/>
      <c r="G180" s="99"/>
      <c r="H180" s="99"/>
      <c r="I180" s="99"/>
    </row>
    <row r="181" spans="1:9" s="92" customFormat="1" ht="45" x14ac:dyDescent="0.2">
      <c r="D181" s="34" t="s">
        <v>8</v>
      </c>
      <c r="E181" s="35" t="s">
        <v>9</v>
      </c>
      <c r="F181" s="36" t="s">
        <v>719</v>
      </c>
      <c r="G181" s="36" t="s">
        <v>720</v>
      </c>
      <c r="H181" s="36" t="s">
        <v>721</v>
      </c>
      <c r="I181" s="35" t="s">
        <v>10</v>
      </c>
    </row>
    <row r="182" spans="1:9" x14ac:dyDescent="0.2">
      <c r="D182" s="9">
        <v>20200051</v>
      </c>
      <c r="E182" s="10" t="s">
        <v>790</v>
      </c>
      <c r="F182" s="11">
        <v>2000000</v>
      </c>
      <c r="G182" s="11"/>
      <c r="H182" s="11"/>
    </row>
    <row r="183" spans="1:9" x14ac:dyDescent="0.2">
      <c r="D183" s="9">
        <v>20200073</v>
      </c>
      <c r="E183" s="10" t="s">
        <v>248</v>
      </c>
      <c r="F183" s="11">
        <v>2000000</v>
      </c>
      <c r="G183" s="11">
        <v>2000000</v>
      </c>
      <c r="H183" s="11">
        <v>2000000</v>
      </c>
    </row>
    <row r="184" spans="1:9" x14ac:dyDescent="0.2">
      <c r="D184" s="9">
        <v>20250163</v>
      </c>
      <c r="E184" s="10" t="s">
        <v>842</v>
      </c>
      <c r="F184" s="11">
        <v>1000000</v>
      </c>
      <c r="G184" s="11">
        <v>0</v>
      </c>
      <c r="H184" s="11">
        <v>0</v>
      </c>
    </row>
    <row r="185" spans="1:9" x14ac:dyDescent="0.2">
      <c r="D185" s="9">
        <v>20230277</v>
      </c>
      <c r="E185" s="10" t="s">
        <v>750</v>
      </c>
      <c r="F185" s="11">
        <v>500000</v>
      </c>
      <c r="G185" s="11"/>
      <c r="H185" s="11"/>
    </row>
    <row r="186" spans="1:9" x14ac:dyDescent="0.2">
      <c r="D186" s="9">
        <v>20240194</v>
      </c>
      <c r="E186" s="10" t="s">
        <v>572</v>
      </c>
      <c r="F186" s="11"/>
      <c r="G186" s="11">
        <v>500000</v>
      </c>
      <c r="H186" s="11">
        <v>500000</v>
      </c>
    </row>
    <row r="187" spans="1:9" x14ac:dyDescent="0.2">
      <c r="D187" s="9">
        <v>20240201</v>
      </c>
      <c r="E187" s="10" t="s">
        <v>577</v>
      </c>
      <c r="F187" s="11"/>
      <c r="G187" s="11">
        <v>500000</v>
      </c>
      <c r="H187" s="11">
        <v>500000</v>
      </c>
    </row>
    <row r="188" spans="1:9" x14ac:dyDescent="0.2">
      <c r="D188" s="9">
        <v>20250302</v>
      </c>
      <c r="E188" s="10" t="s">
        <v>619</v>
      </c>
      <c r="F188" s="11"/>
      <c r="G188" s="11"/>
      <c r="H188" s="11">
        <v>347830</v>
      </c>
    </row>
    <row r="189" spans="1:9" x14ac:dyDescent="0.2">
      <c r="C189" s="10" t="s">
        <v>13</v>
      </c>
      <c r="E189" s="19" t="str">
        <f>C189</f>
        <v>Capital Total</v>
      </c>
      <c r="F189" s="20">
        <f>SUM(F182:F188)</f>
        <v>5500000</v>
      </c>
      <c r="G189" s="20">
        <f>SUM(G182:G188)</f>
        <v>3000000</v>
      </c>
      <c r="H189" s="20">
        <f>SUM(H182:H188)</f>
        <v>3347830</v>
      </c>
    </row>
    <row r="190" spans="1:9" x14ac:dyDescent="0.2">
      <c r="E190" s="10" t="s">
        <v>831</v>
      </c>
      <c r="F190" s="29">
        <v>11188877</v>
      </c>
      <c r="G190" s="93"/>
      <c r="H190" s="93"/>
    </row>
    <row r="191" spans="1:9" x14ac:dyDescent="0.2">
      <c r="C191" s="10" t="s">
        <v>14</v>
      </c>
      <c r="E191" s="10" t="s">
        <v>15</v>
      </c>
      <c r="F191" s="21">
        <v>100000</v>
      </c>
      <c r="G191" s="21">
        <v>100000</v>
      </c>
      <c r="H191" s="21">
        <v>100000</v>
      </c>
    </row>
    <row r="192" spans="1:9" x14ac:dyDescent="0.2">
      <c r="B192" s="10" t="s">
        <v>46</v>
      </c>
      <c r="E192" s="23" t="s">
        <v>17</v>
      </c>
      <c r="F192" s="24">
        <f>SUM(F189:F191)</f>
        <v>16788877</v>
      </c>
      <c r="G192" s="24">
        <f>SUM(G189:G191)</f>
        <v>3100000</v>
      </c>
      <c r="H192" s="24">
        <f>SUM(H189:H191)</f>
        <v>3447830</v>
      </c>
    </row>
    <row r="193" spans="1:9" x14ac:dyDescent="0.2">
      <c r="F193" s="11"/>
      <c r="G193" s="11"/>
      <c r="H193" s="11"/>
    </row>
    <row r="194" spans="1:9" s="12" customFormat="1" x14ac:dyDescent="0.2">
      <c r="A194" s="91" t="e">
        <f>#REF!</f>
        <v>#REF!</v>
      </c>
      <c r="B194" s="91"/>
      <c r="C194" s="91"/>
      <c r="D194" s="99" t="s">
        <v>47</v>
      </c>
      <c r="E194" s="99"/>
      <c r="F194" s="99"/>
      <c r="G194" s="99"/>
      <c r="H194" s="99"/>
      <c r="I194" s="99"/>
    </row>
    <row r="195" spans="1:9" s="92" customFormat="1" ht="45" x14ac:dyDescent="0.2">
      <c r="D195" s="34" t="s">
        <v>8</v>
      </c>
      <c r="E195" s="35" t="s">
        <v>9</v>
      </c>
      <c r="F195" s="36" t="s">
        <v>719</v>
      </c>
      <c r="G195" s="36" t="s">
        <v>720</v>
      </c>
      <c r="H195" s="36" t="s">
        <v>721</v>
      </c>
      <c r="I195" s="35" t="s">
        <v>10</v>
      </c>
    </row>
    <row r="196" spans="1:9" x14ac:dyDescent="0.2">
      <c r="D196" s="9">
        <v>20220117</v>
      </c>
      <c r="E196" s="10" t="s">
        <v>841</v>
      </c>
      <c r="F196" s="11">
        <f>10000000-5000000</f>
        <v>5000000</v>
      </c>
      <c r="G196" s="11"/>
      <c r="H196" s="11"/>
    </row>
    <row r="197" spans="1:9" x14ac:dyDescent="0.2">
      <c r="D197" s="9">
        <v>20230219</v>
      </c>
      <c r="E197" s="10" t="s">
        <v>771</v>
      </c>
      <c r="F197" s="11">
        <v>1400000</v>
      </c>
      <c r="G197" s="11"/>
      <c r="H197" s="11"/>
    </row>
    <row r="198" spans="1:9" x14ac:dyDescent="0.2">
      <c r="D198" s="9">
        <v>20240191</v>
      </c>
      <c r="E198" s="10" t="s">
        <v>569</v>
      </c>
      <c r="F198" s="11"/>
      <c r="G198" s="11">
        <v>500000</v>
      </c>
      <c r="H198" s="11">
        <v>500000</v>
      </c>
    </row>
    <row r="199" spans="1:9" x14ac:dyDescent="0.2">
      <c r="D199" s="9">
        <v>20240210</v>
      </c>
      <c r="E199" s="10" t="s">
        <v>791</v>
      </c>
      <c r="F199" s="11"/>
      <c r="G199" s="11">
        <v>500000</v>
      </c>
      <c r="H199" s="11">
        <v>500000</v>
      </c>
    </row>
    <row r="200" spans="1:9" x14ac:dyDescent="0.2">
      <c r="D200" s="9">
        <v>20240214</v>
      </c>
      <c r="E200" s="10" t="s">
        <v>249</v>
      </c>
      <c r="F200" s="11"/>
      <c r="G200" s="11">
        <v>500000</v>
      </c>
      <c r="H200" s="11">
        <v>500000</v>
      </c>
    </row>
    <row r="201" spans="1:9" x14ac:dyDescent="0.2">
      <c r="D201" s="9">
        <v>20240233</v>
      </c>
      <c r="E201" s="10" t="s">
        <v>250</v>
      </c>
      <c r="F201" s="11"/>
      <c r="G201" s="11">
        <v>500000</v>
      </c>
      <c r="H201" s="11">
        <v>500000</v>
      </c>
    </row>
    <row r="202" spans="1:9" x14ac:dyDescent="0.2">
      <c r="F202" s="11"/>
      <c r="G202" s="11"/>
      <c r="H202" s="11"/>
    </row>
    <row r="203" spans="1:9" x14ac:dyDescent="0.2">
      <c r="C203" s="10" t="s">
        <v>13</v>
      </c>
      <c r="E203" s="19" t="str">
        <f>C203</f>
        <v>Capital Total</v>
      </c>
      <c r="F203" s="20">
        <f>SUM(F196:F202)</f>
        <v>6400000</v>
      </c>
      <c r="G203" s="20">
        <f>SUM(G196:G202)</f>
        <v>2000000</v>
      </c>
      <c r="H203" s="20">
        <f>SUM(H196:H202)</f>
        <v>2000000</v>
      </c>
    </row>
    <row r="204" spans="1:9" x14ac:dyDescent="0.2">
      <c r="C204" s="10" t="s">
        <v>14</v>
      </c>
      <c r="E204" s="10" t="s">
        <v>15</v>
      </c>
      <c r="F204" s="21">
        <v>100000</v>
      </c>
      <c r="G204" s="21">
        <v>100000</v>
      </c>
      <c r="H204" s="21">
        <v>100000</v>
      </c>
    </row>
    <row r="205" spans="1:9" x14ac:dyDescent="0.2">
      <c r="B205" s="10" t="s">
        <v>48</v>
      </c>
      <c r="E205" s="23" t="s">
        <v>17</v>
      </c>
      <c r="F205" s="24">
        <f>SUM(F203:F204)</f>
        <v>6500000</v>
      </c>
      <c r="G205" s="24">
        <f>SUM(G203:G204)</f>
        <v>2100000</v>
      </c>
      <c r="H205" s="24">
        <f>SUM(H203:H204)</f>
        <v>2100000</v>
      </c>
    </row>
    <row r="206" spans="1:9" x14ac:dyDescent="0.2">
      <c r="E206" s="23"/>
      <c r="F206" s="11"/>
      <c r="G206" s="11"/>
      <c r="H206" s="11"/>
    </row>
    <row r="207" spans="1:9" s="12" customFormat="1" x14ac:dyDescent="0.2">
      <c r="A207" s="91" t="str">
        <f>B209</f>
        <v>WARD 18</v>
      </c>
      <c r="B207" s="91"/>
      <c r="C207" s="91"/>
      <c r="D207" s="99" t="str">
        <f>A207</f>
        <v>WARD 18</v>
      </c>
      <c r="E207" s="99"/>
      <c r="F207" s="99"/>
      <c r="G207" s="99"/>
      <c r="H207" s="99"/>
      <c r="I207" s="99"/>
    </row>
    <row r="208" spans="1:9" s="92" customFormat="1" ht="45" x14ac:dyDescent="0.2">
      <c r="D208" s="34" t="s">
        <v>8</v>
      </c>
      <c r="E208" s="35" t="s">
        <v>9</v>
      </c>
      <c r="F208" s="36" t="s">
        <v>719</v>
      </c>
      <c r="G208" s="36" t="s">
        <v>720</v>
      </c>
      <c r="H208" s="36" t="s">
        <v>721</v>
      </c>
      <c r="I208" s="35" t="s">
        <v>10</v>
      </c>
    </row>
    <row r="209" spans="1:12" s="12" customFormat="1" x14ac:dyDescent="0.2">
      <c r="A209" s="10">
        <v>18</v>
      </c>
      <c r="B209" s="10" t="s">
        <v>49</v>
      </c>
      <c r="C209" s="10" t="s">
        <v>12</v>
      </c>
      <c r="D209" s="9">
        <v>20200051</v>
      </c>
      <c r="E209" s="10" t="s">
        <v>792</v>
      </c>
      <c r="F209" s="11">
        <v>1000000</v>
      </c>
      <c r="G209" s="11"/>
      <c r="H209" s="11"/>
      <c r="I209" s="10"/>
    </row>
    <row r="210" spans="1:12" x14ac:dyDescent="0.2">
      <c r="D210" s="9">
        <v>20230276</v>
      </c>
      <c r="E210" s="10" t="s">
        <v>732</v>
      </c>
      <c r="F210" s="11">
        <v>1670000</v>
      </c>
      <c r="G210" s="11"/>
      <c r="H210" s="11"/>
    </row>
    <row r="211" spans="1:12" x14ac:dyDescent="0.2">
      <c r="D211" s="9">
        <v>20240193</v>
      </c>
      <c r="E211" s="10" t="s">
        <v>571</v>
      </c>
      <c r="F211" s="11"/>
      <c r="G211" s="11">
        <v>500000</v>
      </c>
      <c r="H211" s="11">
        <v>500000</v>
      </c>
    </row>
    <row r="212" spans="1:12" x14ac:dyDescent="0.2">
      <c r="D212" s="9">
        <v>20240196</v>
      </c>
      <c r="E212" s="10" t="s">
        <v>142</v>
      </c>
      <c r="F212" s="11"/>
      <c r="G212" s="11">
        <v>500000</v>
      </c>
      <c r="H212" s="11">
        <v>500000</v>
      </c>
    </row>
    <row r="213" spans="1:12" x14ac:dyDescent="0.2">
      <c r="F213" s="11"/>
      <c r="G213" s="11"/>
      <c r="H213" s="11"/>
    </row>
    <row r="214" spans="1:12" x14ac:dyDescent="0.2">
      <c r="C214" s="10" t="s">
        <v>13</v>
      </c>
      <c r="E214" s="19" t="str">
        <f>C214</f>
        <v>Capital Total</v>
      </c>
      <c r="F214" s="20">
        <f>SUM(F209:F213)</f>
        <v>2670000</v>
      </c>
      <c r="G214" s="20">
        <f>SUM(G209:G213)</f>
        <v>1000000</v>
      </c>
      <c r="H214" s="20">
        <f>SUM(H209:H213)</f>
        <v>1000000</v>
      </c>
    </row>
    <row r="215" spans="1:12" x14ac:dyDescent="0.2">
      <c r="C215" s="10" t="s">
        <v>14</v>
      </c>
      <c r="E215" s="10" t="s">
        <v>15</v>
      </c>
      <c r="F215" s="21">
        <v>100000</v>
      </c>
      <c r="G215" s="21">
        <v>100000</v>
      </c>
      <c r="H215" s="21">
        <v>100000</v>
      </c>
    </row>
    <row r="216" spans="1:12" x14ac:dyDescent="0.2">
      <c r="B216" s="10" t="s">
        <v>50</v>
      </c>
      <c r="E216" s="23" t="s">
        <v>17</v>
      </c>
      <c r="F216" s="24">
        <f>SUM(F214:F215)</f>
        <v>2770000</v>
      </c>
      <c r="G216" s="24">
        <f>SUM(G214:G215)</f>
        <v>1100000</v>
      </c>
      <c r="H216" s="24">
        <f>SUM(H214:H215)</f>
        <v>1100000</v>
      </c>
    </row>
    <row r="217" spans="1:12" x14ac:dyDescent="0.2">
      <c r="E217" s="23"/>
      <c r="F217" s="11"/>
      <c r="G217" s="11"/>
      <c r="H217" s="11"/>
    </row>
    <row r="218" spans="1:12" s="12" customFormat="1" x14ac:dyDescent="0.2">
      <c r="A218" s="91" t="e">
        <f>#REF!</f>
        <v>#REF!</v>
      </c>
      <c r="B218" s="91"/>
      <c r="C218" s="91"/>
      <c r="D218" s="99" t="s">
        <v>717</v>
      </c>
      <c r="E218" s="99"/>
      <c r="F218" s="99"/>
      <c r="G218" s="99"/>
      <c r="H218" s="99"/>
      <c r="I218" s="99"/>
    </row>
    <row r="219" spans="1:12" s="92" customFormat="1" ht="45" x14ac:dyDescent="0.2">
      <c r="D219" s="34" t="s">
        <v>8</v>
      </c>
      <c r="E219" s="35" t="s">
        <v>9</v>
      </c>
      <c r="F219" s="36" t="s">
        <v>719</v>
      </c>
      <c r="G219" s="36" t="s">
        <v>720</v>
      </c>
      <c r="H219" s="36" t="s">
        <v>721</v>
      </c>
      <c r="I219" s="35" t="s">
        <v>10</v>
      </c>
    </row>
    <row r="220" spans="1:12" s="12" customFormat="1" x14ac:dyDescent="0.2">
      <c r="D220" s="13">
        <v>20170088</v>
      </c>
      <c r="E220" s="14" t="s">
        <v>251</v>
      </c>
      <c r="F220" s="3">
        <v>8000000</v>
      </c>
      <c r="G220" s="1"/>
      <c r="H220" s="1"/>
      <c r="I220" s="94"/>
    </row>
    <row r="221" spans="1:12" s="12" customFormat="1" x14ac:dyDescent="0.2">
      <c r="D221" s="13">
        <v>20230274</v>
      </c>
      <c r="E221" s="14" t="s">
        <v>252</v>
      </c>
      <c r="F221" s="2">
        <v>3000000</v>
      </c>
      <c r="G221" s="3">
        <v>3000000</v>
      </c>
      <c r="H221" s="3">
        <v>3000000</v>
      </c>
      <c r="I221" s="94"/>
    </row>
    <row r="222" spans="1:12" s="12" customFormat="1" x14ac:dyDescent="0.2">
      <c r="A222" s="10"/>
      <c r="B222" s="10"/>
      <c r="C222" s="10"/>
      <c r="D222" s="9">
        <v>20230277</v>
      </c>
      <c r="E222" s="10" t="s">
        <v>751</v>
      </c>
      <c r="F222" s="11">
        <v>400000</v>
      </c>
      <c r="G222" s="11"/>
      <c r="H222" s="11"/>
      <c r="I222" s="10"/>
      <c r="J222" s="10"/>
      <c r="K222" s="10"/>
      <c r="L222" s="10"/>
    </row>
    <row r="223" spans="1:12" s="12" customFormat="1" x14ac:dyDescent="0.2">
      <c r="A223" s="10"/>
      <c r="B223" s="10"/>
      <c r="C223" s="10"/>
      <c r="D223" s="9">
        <v>20240187</v>
      </c>
      <c r="E223" s="10" t="s">
        <v>566</v>
      </c>
      <c r="F223" s="11"/>
      <c r="G223" s="11">
        <v>500000</v>
      </c>
      <c r="H223" s="11">
        <v>500000</v>
      </c>
      <c r="I223" s="10"/>
      <c r="J223" s="10"/>
      <c r="K223" s="10"/>
      <c r="L223" s="10"/>
    </row>
    <row r="224" spans="1:12" x14ac:dyDescent="0.2">
      <c r="A224" s="12"/>
      <c r="B224" s="12"/>
      <c r="C224" s="12"/>
      <c r="D224" s="9">
        <v>20250250</v>
      </c>
      <c r="E224" s="10" t="s">
        <v>600</v>
      </c>
      <c r="F224" s="11">
        <v>1000000</v>
      </c>
      <c r="G224" s="11"/>
      <c r="H224" s="11">
        <v>5000000</v>
      </c>
      <c r="I224" s="94"/>
      <c r="J224" s="12"/>
      <c r="K224" s="12"/>
      <c r="L224" s="12"/>
    </row>
    <row r="225" spans="1:12" x14ac:dyDescent="0.2">
      <c r="A225" s="12"/>
      <c r="B225" s="12"/>
      <c r="C225" s="12"/>
      <c r="D225" s="9">
        <v>20250264</v>
      </c>
      <c r="E225" s="10" t="s">
        <v>602</v>
      </c>
      <c r="F225" s="11">
        <v>2173910</v>
      </c>
      <c r="G225" s="11">
        <v>1739130</v>
      </c>
      <c r="H225" s="11">
        <v>7826090</v>
      </c>
      <c r="I225" s="94"/>
      <c r="J225" s="12"/>
      <c r="K225" s="12"/>
      <c r="L225" s="12"/>
    </row>
    <row r="226" spans="1:12" x14ac:dyDescent="0.2">
      <c r="D226" s="9">
        <v>20250286</v>
      </c>
      <c r="E226" s="10" t="s">
        <v>612</v>
      </c>
      <c r="F226" s="11"/>
      <c r="G226" s="11">
        <v>3913040</v>
      </c>
      <c r="H226" s="11"/>
    </row>
    <row r="227" spans="1:12" x14ac:dyDescent="0.2">
      <c r="D227" s="9">
        <v>20250371</v>
      </c>
      <c r="E227" s="10" t="s">
        <v>843</v>
      </c>
      <c r="F227" s="11">
        <v>1478260</v>
      </c>
      <c r="G227" s="11"/>
      <c r="H227" s="11"/>
    </row>
    <row r="229" spans="1:12" x14ac:dyDescent="0.2">
      <c r="C229" s="10" t="s">
        <v>13</v>
      </c>
      <c r="E229" s="19" t="str">
        <f>C229</f>
        <v>Capital Total</v>
      </c>
      <c r="F229" s="20">
        <f>SUM(F220:F227)</f>
        <v>16052170</v>
      </c>
      <c r="G229" s="20">
        <f>SUM(G220:G226)</f>
        <v>9152170</v>
      </c>
      <c r="H229" s="20">
        <f>SUM(H220:H226)</f>
        <v>16326090</v>
      </c>
    </row>
    <row r="230" spans="1:12" x14ac:dyDescent="0.2">
      <c r="C230" s="10" t="s">
        <v>14</v>
      </c>
      <c r="E230" s="10" t="s">
        <v>15</v>
      </c>
      <c r="F230" s="21">
        <v>100000</v>
      </c>
      <c r="G230" s="21">
        <v>100000</v>
      </c>
      <c r="H230" s="21">
        <v>100000</v>
      </c>
    </row>
    <row r="231" spans="1:12" x14ac:dyDescent="0.2">
      <c r="B231" s="10" t="s">
        <v>51</v>
      </c>
      <c r="E231" s="23" t="s">
        <v>17</v>
      </c>
      <c r="F231" s="24">
        <f>SUM(F229:F230)</f>
        <v>16152170</v>
      </c>
      <c r="G231" s="24">
        <f t="shared" ref="G231:H231" si="9">SUM(G229:G230)</f>
        <v>9252170</v>
      </c>
      <c r="H231" s="24">
        <f t="shared" si="9"/>
        <v>16426090</v>
      </c>
    </row>
    <row r="232" spans="1:12" x14ac:dyDescent="0.2">
      <c r="E232" s="23"/>
      <c r="F232" s="11"/>
      <c r="G232" s="11"/>
      <c r="H232" s="11"/>
    </row>
    <row r="233" spans="1:12" s="12" customFormat="1" x14ac:dyDescent="0.2">
      <c r="A233" s="91" t="e">
        <f>#REF!</f>
        <v>#REF!</v>
      </c>
      <c r="B233" s="91"/>
      <c r="C233" s="91"/>
      <c r="D233" s="99" t="s">
        <v>52</v>
      </c>
      <c r="E233" s="99"/>
      <c r="F233" s="99"/>
      <c r="G233" s="99"/>
      <c r="H233" s="99"/>
      <c r="I233" s="99"/>
    </row>
    <row r="234" spans="1:12" s="92" customFormat="1" ht="45" x14ac:dyDescent="0.2">
      <c r="D234" s="34" t="s">
        <v>8</v>
      </c>
      <c r="E234" s="35" t="s">
        <v>9</v>
      </c>
      <c r="F234" s="36" t="s">
        <v>719</v>
      </c>
      <c r="G234" s="36" t="s">
        <v>720</v>
      </c>
      <c r="H234" s="36" t="s">
        <v>721</v>
      </c>
      <c r="I234" s="35" t="s">
        <v>10</v>
      </c>
    </row>
    <row r="235" spans="1:12" x14ac:dyDescent="0.2">
      <c r="D235" s="10"/>
    </row>
    <row r="236" spans="1:12" x14ac:dyDescent="0.2">
      <c r="D236" s="9">
        <v>20230277</v>
      </c>
      <c r="E236" s="10" t="s">
        <v>752</v>
      </c>
      <c r="F236" s="11">
        <v>500000</v>
      </c>
      <c r="G236" s="11"/>
      <c r="H236" s="11"/>
    </row>
    <row r="237" spans="1:12" x14ac:dyDescent="0.2">
      <c r="D237" s="9">
        <v>20170045</v>
      </c>
      <c r="E237" s="10" t="s">
        <v>881</v>
      </c>
      <c r="F237" s="11">
        <v>500000</v>
      </c>
      <c r="G237" s="11">
        <v>500000</v>
      </c>
      <c r="H237" s="11">
        <v>500000</v>
      </c>
    </row>
    <row r="238" spans="1:12" x14ac:dyDescent="0.2">
      <c r="D238" s="9">
        <v>20240146</v>
      </c>
      <c r="E238" s="10" t="s">
        <v>862</v>
      </c>
      <c r="F238" s="11"/>
      <c r="G238" s="11">
        <v>1700000</v>
      </c>
      <c r="H238" s="11"/>
    </row>
    <row r="239" spans="1:12" x14ac:dyDescent="0.2">
      <c r="D239" s="9">
        <v>20200105</v>
      </c>
      <c r="E239" s="10" t="s">
        <v>887</v>
      </c>
      <c r="F239" s="11">
        <v>250000</v>
      </c>
      <c r="G239" s="11">
        <v>250000</v>
      </c>
      <c r="H239" s="11">
        <v>250000</v>
      </c>
    </row>
    <row r="240" spans="1:12" x14ac:dyDescent="0.2">
      <c r="D240" s="9">
        <v>20250347</v>
      </c>
      <c r="E240" s="10" t="s">
        <v>622</v>
      </c>
      <c r="F240" s="11"/>
      <c r="G240" s="11"/>
      <c r="H240" s="11">
        <v>614320</v>
      </c>
    </row>
    <row r="241" spans="1:9" x14ac:dyDescent="0.2">
      <c r="C241" s="10" t="s">
        <v>13</v>
      </c>
      <c r="E241" s="19" t="str">
        <f>C241</f>
        <v>Capital Total</v>
      </c>
      <c r="F241" s="20">
        <f>SUM(F235:F240)</f>
        <v>1250000</v>
      </c>
      <c r="G241" s="20">
        <f>SUM(G235:G240)</f>
        <v>2450000</v>
      </c>
      <c r="H241" s="20">
        <f>SUM(H235:H240)</f>
        <v>1364320</v>
      </c>
    </row>
    <row r="242" spans="1:9" x14ac:dyDescent="0.2">
      <c r="C242" s="10" t="s">
        <v>14</v>
      </c>
      <c r="E242" s="10" t="s">
        <v>15</v>
      </c>
      <c r="F242" s="21">
        <v>100000</v>
      </c>
      <c r="G242" s="21">
        <v>100000</v>
      </c>
      <c r="H242" s="21">
        <v>100000</v>
      </c>
    </row>
    <row r="243" spans="1:9" x14ac:dyDescent="0.2">
      <c r="B243" s="10" t="s">
        <v>53</v>
      </c>
      <c r="E243" s="23" t="s">
        <v>17</v>
      </c>
      <c r="F243" s="24">
        <f>SUM(F241:F242)</f>
        <v>1350000</v>
      </c>
      <c r="G243" s="24">
        <f t="shared" ref="G243:H243" si="10">SUM(G241:G242)</f>
        <v>2550000</v>
      </c>
      <c r="H243" s="24">
        <f t="shared" si="10"/>
        <v>1464320</v>
      </c>
    </row>
    <row r="245" spans="1:9" s="12" customFormat="1" x14ac:dyDescent="0.2">
      <c r="A245" s="91" t="str">
        <f>B247</f>
        <v>WARD 21</v>
      </c>
      <c r="B245" s="91"/>
      <c r="C245" s="91"/>
      <c r="D245" s="99" t="str">
        <f>A245</f>
        <v>WARD 21</v>
      </c>
      <c r="E245" s="99"/>
      <c r="F245" s="99"/>
      <c r="G245" s="99"/>
      <c r="H245" s="99"/>
      <c r="I245" s="99"/>
    </row>
    <row r="246" spans="1:9" s="92" customFormat="1" ht="45" x14ac:dyDescent="0.2">
      <c r="D246" s="34" t="s">
        <v>8</v>
      </c>
      <c r="E246" s="35" t="s">
        <v>9</v>
      </c>
      <c r="F246" s="36" t="s">
        <v>719</v>
      </c>
      <c r="G246" s="36" t="s">
        <v>720</v>
      </c>
      <c r="H246" s="36" t="s">
        <v>721</v>
      </c>
      <c r="I246" s="35" t="s">
        <v>10</v>
      </c>
    </row>
    <row r="247" spans="1:9" x14ac:dyDescent="0.2">
      <c r="A247" s="10">
        <v>21</v>
      </c>
      <c r="B247" s="10" t="s">
        <v>54</v>
      </c>
      <c r="C247" s="10" t="s">
        <v>12</v>
      </c>
      <c r="D247" s="9">
        <v>20230277</v>
      </c>
      <c r="E247" s="10" t="s">
        <v>753</v>
      </c>
      <c r="F247" s="11">
        <v>500000</v>
      </c>
      <c r="G247" s="11"/>
      <c r="H247" s="11"/>
    </row>
    <row r="248" spans="1:9" x14ac:dyDescent="0.2">
      <c r="D248" s="9">
        <v>20240120</v>
      </c>
      <c r="E248" s="10" t="s">
        <v>561</v>
      </c>
      <c r="F248" s="11">
        <v>1500000</v>
      </c>
      <c r="G248" s="11">
        <v>2000000</v>
      </c>
      <c r="H248" s="11"/>
    </row>
    <row r="249" spans="1:9" x14ac:dyDescent="0.2">
      <c r="D249" s="9">
        <v>20240198</v>
      </c>
      <c r="E249" s="10" t="s">
        <v>574</v>
      </c>
      <c r="F249" s="11"/>
      <c r="G249" s="11">
        <v>500000</v>
      </c>
      <c r="H249" s="11">
        <v>500000</v>
      </c>
    </row>
    <row r="250" spans="1:9" x14ac:dyDescent="0.2">
      <c r="D250" s="9">
        <v>20250246</v>
      </c>
      <c r="E250" s="10" t="s">
        <v>599</v>
      </c>
      <c r="F250" s="11">
        <v>500000</v>
      </c>
      <c r="G250" s="11">
        <v>500000</v>
      </c>
      <c r="H250" s="11"/>
    </row>
    <row r="251" spans="1:9" x14ac:dyDescent="0.2">
      <c r="D251" s="9">
        <v>20200105</v>
      </c>
      <c r="E251" s="10" t="s">
        <v>888</v>
      </c>
      <c r="F251" s="11">
        <v>250000</v>
      </c>
      <c r="G251" s="11">
        <v>250000</v>
      </c>
      <c r="H251" s="11">
        <v>250000</v>
      </c>
    </row>
    <row r="252" spans="1:9" x14ac:dyDescent="0.2">
      <c r="C252" s="10" t="s">
        <v>13</v>
      </c>
      <c r="E252" s="19" t="str">
        <f>C252</f>
        <v>Capital Total</v>
      </c>
      <c r="F252" s="20">
        <f>SUM(F247:F251)</f>
        <v>2750000</v>
      </c>
      <c r="G252" s="20">
        <f>SUM(G247:G251)</f>
        <v>3250000</v>
      </c>
      <c r="H252" s="20">
        <f>SUM(H247:H251)</f>
        <v>750000</v>
      </c>
    </row>
    <row r="253" spans="1:9" x14ac:dyDescent="0.2">
      <c r="C253" s="10" t="s">
        <v>14</v>
      </c>
      <c r="E253" s="10" t="s">
        <v>15</v>
      </c>
      <c r="F253" s="21">
        <v>100000</v>
      </c>
      <c r="G253" s="21">
        <v>100000</v>
      </c>
      <c r="H253" s="21">
        <v>100000</v>
      </c>
    </row>
    <row r="254" spans="1:9" x14ac:dyDescent="0.2">
      <c r="B254" s="10" t="s">
        <v>55</v>
      </c>
      <c r="E254" s="23" t="s">
        <v>17</v>
      </c>
      <c r="F254" s="24">
        <f>SUM(F252:F253)</f>
        <v>2850000</v>
      </c>
      <c r="G254" s="24">
        <f t="shared" ref="G254:H254" si="11">SUM(G252:G253)</f>
        <v>3350000</v>
      </c>
      <c r="H254" s="24">
        <f t="shared" si="11"/>
        <v>850000</v>
      </c>
    </row>
    <row r="255" spans="1:9" x14ac:dyDescent="0.2">
      <c r="E255" s="23"/>
      <c r="F255" s="11"/>
      <c r="G255" s="11"/>
      <c r="H255" s="11"/>
    </row>
    <row r="256" spans="1:9" s="12" customFormat="1" x14ac:dyDescent="0.2">
      <c r="A256" s="91" t="e">
        <f>#REF!</f>
        <v>#REF!</v>
      </c>
      <c r="B256" s="91"/>
      <c r="C256" s="91"/>
      <c r="D256" s="99" t="s">
        <v>56</v>
      </c>
      <c r="E256" s="99"/>
      <c r="F256" s="99"/>
      <c r="G256" s="99"/>
      <c r="H256" s="99"/>
      <c r="I256" s="99"/>
    </row>
    <row r="257" spans="1:9" s="92" customFormat="1" ht="45" x14ac:dyDescent="0.2">
      <c r="D257" s="34" t="s">
        <v>8</v>
      </c>
      <c r="E257" s="35" t="s">
        <v>9</v>
      </c>
      <c r="F257" s="36" t="s">
        <v>719</v>
      </c>
      <c r="G257" s="36" t="s">
        <v>720</v>
      </c>
      <c r="H257" s="36" t="s">
        <v>721</v>
      </c>
      <c r="I257" s="35" t="s">
        <v>10</v>
      </c>
    </row>
    <row r="258" spans="1:9" x14ac:dyDescent="0.2">
      <c r="D258" s="9">
        <v>20230277</v>
      </c>
      <c r="E258" s="10" t="s">
        <v>812</v>
      </c>
      <c r="F258" s="11">
        <v>400000</v>
      </c>
      <c r="G258" s="11"/>
      <c r="H258" s="11"/>
    </row>
    <row r="259" spans="1:9" x14ac:dyDescent="0.2">
      <c r="D259" s="9">
        <v>20240188</v>
      </c>
      <c r="E259" s="10" t="s">
        <v>567</v>
      </c>
      <c r="F259" s="11"/>
      <c r="G259" s="11">
        <v>500000</v>
      </c>
      <c r="H259" s="11">
        <v>500000</v>
      </c>
    </row>
    <row r="260" spans="1:9" x14ac:dyDescent="0.2">
      <c r="E260" s="19" t="s">
        <v>844</v>
      </c>
      <c r="F260" s="11"/>
      <c r="G260" s="11"/>
      <c r="H260" s="11"/>
    </row>
    <row r="261" spans="1:9" x14ac:dyDescent="0.2">
      <c r="D261" s="9">
        <v>20240200</v>
      </c>
      <c r="E261" s="10" t="s">
        <v>576</v>
      </c>
      <c r="F261" s="11"/>
      <c r="G261" s="11">
        <v>500000</v>
      </c>
      <c r="H261" s="11">
        <v>500000</v>
      </c>
    </row>
    <row r="262" spans="1:9" x14ac:dyDescent="0.2">
      <c r="D262" s="9">
        <v>20230285</v>
      </c>
      <c r="E262" s="10" t="s">
        <v>857</v>
      </c>
      <c r="F262" s="11">
        <v>3043480</v>
      </c>
      <c r="G262" s="11">
        <v>10434780</v>
      </c>
      <c r="H262" s="11">
        <v>8695650</v>
      </c>
    </row>
    <row r="263" spans="1:9" x14ac:dyDescent="0.2">
      <c r="D263" s="9">
        <v>20250345</v>
      </c>
      <c r="E263" s="10" t="s">
        <v>621</v>
      </c>
      <c r="F263" s="11"/>
      <c r="G263" s="11"/>
      <c r="H263" s="11">
        <v>1600000</v>
      </c>
    </row>
    <row r="264" spans="1:9" x14ac:dyDescent="0.2">
      <c r="C264" s="10" t="s">
        <v>13</v>
      </c>
      <c r="E264" s="19" t="str">
        <f>C264</f>
        <v>Capital Total</v>
      </c>
      <c r="F264" s="20">
        <f>SUM(F258:F263)</f>
        <v>3443480</v>
      </c>
      <c r="G264" s="20">
        <f t="shared" ref="G264:H264" si="12">SUM(G258:G263)</f>
        <v>11434780</v>
      </c>
      <c r="H264" s="20">
        <f t="shared" si="12"/>
        <v>11295650</v>
      </c>
    </row>
    <row r="265" spans="1:9" x14ac:dyDescent="0.2">
      <c r="E265" s="10" t="s">
        <v>845</v>
      </c>
      <c r="F265" s="93"/>
      <c r="G265" s="93"/>
      <c r="H265" s="93"/>
    </row>
    <row r="266" spans="1:9" x14ac:dyDescent="0.2">
      <c r="C266" s="10" t="s">
        <v>14</v>
      </c>
      <c r="E266" s="10" t="s">
        <v>15</v>
      </c>
      <c r="F266" s="21">
        <v>100000</v>
      </c>
      <c r="G266" s="21">
        <v>100000</v>
      </c>
      <c r="H266" s="21">
        <v>100000</v>
      </c>
    </row>
    <row r="267" spans="1:9" x14ac:dyDescent="0.2">
      <c r="B267" s="10" t="s">
        <v>57</v>
      </c>
      <c r="E267" s="23" t="s">
        <v>17</v>
      </c>
      <c r="F267" s="24">
        <f>SUM(F264:F266)</f>
        <v>3543480</v>
      </c>
      <c r="G267" s="24">
        <f t="shared" ref="G267:H267" si="13">SUM(G264:G266)</f>
        <v>11534780</v>
      </c>
      <c r="H267" s="24">
        <f t="shared" si="13"/>
        <v>11395650</v>
      </c>
    </row>
    <row r="268" spans="1:9" x14ac:dyDescent="0.2">
      <c r="F268" s="11"/>
      <c r="G268" s="11"/>
      <c r="H268" s="11"/>
    </row>
    <row r="269" spans="1:9" s="12" customFormat="1" x14ac:dyDescent="0.2">
      <c r="A269" s="91" t="e">
        <f>#REF!</f>
        <v>#REF!</v>
      </c>
      <c r="B269" s="91"/>
      <c r="C269" s="91"/>
      <c r="D269" s="99" t="s">
        <v>58</v>
      </c>
      <c r="E269" s="99"/>
      <c r="F269" s="99"/>
      <c r="G269" s="99"/>
      <c r="H269" s="99"/>
      <c r="I269" s="99"/>
    </row>
    <row r="270" spans="1:9" s="92" customFormat="1" ht="45" x14ac:dyDescent="0.2">
      <c r="D270" s="34" t="s">
        <v>8</v>
      </c>
      <c r="E270" s="35" t="s">
        <v>9</v>
      </c>
      <c r="F270" s="36" t="s">
        <v>719</v>
      </c>
      <c r="G270" s="36" t="s">
        <v>720</v>
      </c>
      <c r="H270" s="36" t="s">
        <v>721</v>
      </c>
      <c r="I270" s="35" t="s">
        <v>10</v>
      </c>
    </row>
    <row r="271" spans="1:9" x14ac:dyDescent="0.2">
      <c r="D271" s="9">
        <v>20230277</v>
      </c>
      <c r="E271" s="10" t="s">
        <v>754</v>
      </c>
      <c r="F271" s="11">
        <v>400000</v>
      </c>
      <c r="G271" s="11"/>
      <c r="H271" s="11"/>
    </row>
    <row r="272" spans="1:9" x14ac:dyDescent="0.2">
      <c r="F272" s="11"/>
      <c r="G272" s="11"/>
      <c r="H272" s="11"/>
    </row>
    <row r="273" spans="1:9" x14ac:dyDescent="0.2">
      <c r="D273" s="9">
        <v>20200051</v>
      </c>
      <c r="E273" s="10" t="s">
        <v>889</v>
      </c>
      <c r="F273" s="11">
        <v>1500000</v>
      </c>
      <c r="G273" s="11"/>
      <c r="H273" s="11"/>
    </row>
    <row r="274" spans="1:9" x14ac:dyDescent="0.2">
      <c r="D274" s="9">
        <v>20250351</v>
      </c>
      <c r="E274" s="10" t="s">
        <v>860</v>
      </c>
      <c r="F274" s="11">
        <v>1500000</v>
      </c>
      <c r="G274" s="11"/>
      <c r="H274" s="11">
        <v>1500000</v>
      </c>
    </row>
    <row r="275" spans="1:9" x14ac:dyDescent="0.2">
      <c r="D275" s="9">
        <v>20250312</v>
      </c>
      <c r="E275" s="10" t="s">
        <v>877</v>
      </c>
      <c r="F275" s="11">
        <v>25000</v>
      </c>
      <c r="G275" s="11"/>
      <c r="H275" s="11"/>
    </row>
    <row r="276" spans="1:9" x14ac:dyDescent="0.2">
      <c r="C276" s="10" t="s">
        <v>13</v>
      </c>
      <c r="E276" s="19" t="str">
        <f>C276</f>
        <v>Capital Total</v>
      </c>
      <c r="F276" s="20">
        <f>SUM(F271:F275)</f>
        <v>3425000</v>
      </c>
      <c r="G276" s="20">
        <f>SUM(G271:G275)</f>
        <v>0</v>
      </c>
      <c r="H276" s="20">
        <f>SUM(H271:H275)</f>
        <v>1500000</v>
      </c>
    </row>
    <row r="277" spans="1:9" x14ac:dyDescent="0.2">
      <c r="C277" s="10" t="s">
        <v>14</v>
      </c>
      <c r="E277" s="10" t="s">
        <v>15</v>
      </c>
      <c r="F277" s="21">
        <v>100000</v>
      </c>
      <c r="G277" s="21">
        <v>100000</v>
      </c>
      <c r="H277" s="21">
        <v>100000</v>
      </c>
    </row>
    <row r="278" spans="1:9" x14ac:dyDescent="0.2">
      <c r="B278" s="10" t="s">
        <v>59</v>
      </c>
      <c r="E278" s="23" t="s">
        <v>17</v>
      </c>
      <c r="F278" s="24">
        <f>SUM(F276:F277)</f>
        <v>3525000</v>
      </c>
      <c r="G278" s="24">
        <f t="shared" ref="G278:H278" si="14">SUM(G276:G277)</f>
        <v>100000</v>
      </c>
      <c r="H278" s="24">
        <f t="shared" si="14"/>
        <v>1600000</v>
      </c>
    </row>
    <row r="280" spans="1:9" s="12" customFormat="1" x14ac:dyDescent="0.2">
      <c r="A280" s="91" t="e">
        <f>#REF!</f>
        <v>#REF!</v>
      </c>
      <c r="B280" s="91"/>
      <c r="C280" s="91"/>
      <c r="D280" s="99" t="s">
        <v>60</v>
      </c>
      <c r="E280" s="99"/>
      <c r="F280" s="99"/>
      <c r="G280" s="99"/>
      <c r="H280" s="99"/>
      <c r="I280" s="99"/>
    </row>
    <row r="281" spans="1:9" s="92" customFormat="1" ht="45" x14ac:dyDescent="0.2">
      <c r="D281" s="34" t="s">
        <v>8</v>
      </c>
      <c r="E281" s="35" t="s">
        <v>9</v>
      </c>
      <c r="F281" s="36" t="s">
        <v>719</v>
      </c>
      <c r="G281" s="36" t="s">
        <v>720</v>
      </c>
      <c r="H281" s="36" t="s">
        <v>721</v>
      </c>
      <c r="I281" s="35" t="s">
        <v>10</v>
      </c>
    </row>
    <row r="282" spans="1:9" x14ac:dyDescent="0.2">
      <c r="D282" s="9">
        <v>20230276</v>
      </c>
      <c r="E282" s="10" t="s">
        <v>733</v>
      </c>
      <c r="F282" s="11">
        <v>2200000</v>
      </c>
      <c r="G282" s="11"/>
      <c r="H282" s="11"/>
    </row>
    <row r="283" spans="1:9" x14ac:dyDescent="0.2">
      <c r="D283" s="9">
        <v>20240190</v>
      </c>
      <c r="E283" s="10" t="s">
        <v>568</v>
      </c>
      <c r="F283" s="11"/>
      <c r="G283" s="11">
        <v>500000</v>
      </c>
      <c r="H283" s="11">
        <v>500000</v>
      </c>
    </row>
    <row r="284" spans="1:9" ht="9.9499999999999993" customHeight="1" x14ac:dyDescent="0.2">
      <c r="D284" s="9">
        <v>20250194</v>
      </c>
      <c r="E284" s="10" t="s">
        <v>299</v>
      </c>
      <c r="F284" s="11">
        <v>1000000</v>
      </c>
      <c r="G284" s="11"/>
      <c r="H284" s="11"/>
    </row>
    <row r="285" spans="1:9" x14ac:dyDescent="0.2">
      <c r="D285" s="9">
        <v>20240197</v>
      </c>
      <c r="E285" s="10" t="s">
        <v>573</v>
      </c>
      <c r="F285" s="11"/>
      <c r="G285" s="11">
        <v>500000</v>
      </c>
      <c r="H285" s="11">
        <v>500000</v>
      </c>
    </row>
    <row r="286" spans="1:9" x14ac:dyDescent="0.2">
      <c r="D286" s="9">
        <v>20240231</v>
      </c>
      <c r="E286" s="10" t="s">
        <v>253</v>
      </c>
      <c r="F286" s="11"/>
      <c r="G286" s="11">
        <v>500000</v>
      </c>
      <c r="H286" s="11">
        <v>500000</v>
      </c>
    </row>
    <row r="287" spans="1:9" x14ac:dyDescent="0.2">
      <c r="D287" s="9">
        <v>20250352</v>
      </c>
      <c r="E287" s="10" t="s">
        <v>623</v>
      </c>
      <c r="F287" s="11"/>
      <c r="G287" s="11"/>
      <c r="H287" s="11">
        <v>1500000</v>
      </c>
    </row>
    <row r="288" spans="1:9" x14ac:dyDescent="0.2">
      <c r="C288" s="10" t="s">
        <v>13</v>
      </c>
      <c r="E288" s="19" t="str">
        <f>C288</f>
        <v>Capital Total</v>
      </c>
      <c r="F288" s="20">
        <f>SUM(F282:F287)</f>
        <v>3200000</v>
      </c>
      <c r="G288" s="20">
        <f>SUM(G282:G287)</f>
        <v>1500000</v>
      </c>
      <c r="H288" s="20">
        <f>SUM(H282:H287)</f>
        <v>3000000</v>
      </c>
    </row>
    <row r="289" spans="1:9" x14ac:dyDescent="0.2">
      <c r="E289" s="10" t="s">
        <v>830</v>
      </c>
      <c r="F289" s="29">
        <v>12935160</v>
      </c>
      <c r="G289" s="93"/>
      <c r="H289" s="93"/>
    </row>
    <row r="290" spans="1:9" x14ac:dyDescent="0.2">
      <c r="C290" s="10" t="s">
        <v>14</v>
      </c>
      <c r="E290" s="10" t="s">
        <v>15</v>
      </c>
      <c r="F290" s="21">
        <v>100000</v>
      </c>
      <c r="G290" s="21">
        <v>100000</v>
      </c>
      <c r="H290" s="21">
        <v>100000</v>
      </c>
    </row>
    <row r="291" spans="1:9" x14ac:dyDescent="0.2">
      <c r="B291" s="10" t="s">
        <v>61</v>
      </c>
      <c r="E291" s="23" t="s">
        <v>17</v>
      </c>
      <c r="F291" s="24">
        <f>SUM(F288:F290)</f>
        <v>16235160</v>
      </c>
      <c r="G291" s="24">
        <f>SUM(G288:G290)</f>
        <v>1600000</v>
      </c>
      <c r="H291" s="24">
        <f>SUM(H288:H290)</f>
        <v>3100000</v>
      </c>
    </row>
    <row r="292" spans="1:9" s="12" customFormat="1" x14ac:dyDescent="0.2">
      <c r="A292" s="91" t="e">
        <f>#REF!</f>
        <v>#REF!</v>
      </c>
      <c r="B292" s="91"/>
      <c r="C292" s="91"/>
      <c r="D292" s="99" t="s">
        <v>62</v>
      </c>
      <c r="E292" s="99"/>
      <c r="F292" s="99"/>
      <c r="G292" s="99"/>
      <c r="H292" s="99"/>
      <c r="I292" s="99"/>
    </row>
    <row r="293" spans="1:9" s="92" customFormat="1" ht="45" x14ac:dyDescent="0.2">
      <c r="D293" s="34" t="s">
        <v>8</v>
      </c>
      <c r="E293" s="35" t="s">
        <v>9</v>
      </c>
      <c r="F293" s="36" t="s">
        <v>719</v>
      </c>
      <c r="G293" s="36" t="s">
        <v>720</v>
      </c>
      <c r="H293" s="36" t="s">
        <v>721</v>
      </c>
      <c r="I293" s="35" t="s">
        <v>10</v>
      </c>
    </row>
    <row r="294" spans="1:9" x14ac:dyDescent="0.2">
      <c r="D294" s="9">
        <v>20200051</v>
      </c>
      <c r="E294" s="10" t="s">
        <v>792</v>
      </c>
      <c r="F294" s="11">
        <v>1000000</v>
      </c>
      <c r="G294" s="11"/>
      <c r="H294" s="11"/>
    </row>
    <row r="295" spans="1:9" x14ac:dyDescent="0.2">
      <c r="D295" s="9">
        <v>20230212</v>
      </c>
      <c r="E295" s="10" t="s">
        <v>254</v>
      </c>
      <c r="F295" s="11">
        <v>1500000</v>
      </c>
      <c r="G295" s="11"/>
      <c r="H295" s="11"/>
    </row>
    <row r="296" spans="1:9" x14ac:dyDescent="0.2">
      <c r="D296" s="9">
        <v>20200051</v>
      </c>
      <c r="E296" s="10" t="s">
        <v>789</v>
      </c>
      <c r="F296" s="11">
        <v>2000000</v>
      </c>
      <c r="G296" s="11"/>
      <c r="H296" s="11"/>
    </row>
    <row r="297" spans="1:9" x14ac:dyDescent="0.2">
      <c r="D297" s="9">
        <v>20240124</v>
      </c>
      <c r="E297" s="10" t="s">
        <v>835</v>
      </c>
      <c r="F297" s="11">
        <v>3000000</v>
      </c>
      <c r="G297" s="11"/>
      <c r="H297" s="11">
        <v>2000000</v>
      </c>
    </row>
    <row r="298" spans="1:9" x14ac:dyDescent="0.2">
      <c r="D298" s="9">
        <v>20230277</v>
      </c>
      <c r="E298" s="10" t="s">
        <v>755</v>
      </c>
      <c r="F298" s="11">
        <v>500000</v>
      </c>
      <c r="G298" s="11"/>
      <c r="H298" s="11"/>
    </row>
    <row r="299" spans="1:9" x14ac:dyDescent="0.2">
      <c r="D299" s="9">
        <v>20240199</v>
      </c>
      <c r="E299" s="10" t="s">
        <v>575</v>
      </c>
      <c r="F299" s="11"/>
      <c r="G299" s="11">
        <v>500000</v>
      </c>
      <c r="H299" s="11">
        <v>500000</v>
      </c>
    </row>
    <row r="300" spans="1:9" x14ac:dyDescent="0.2">
      <c r="F300" s="11"/>
      <c r="G300" s="11"/>
      <c r="H300" s="11"/>
    </row>
    <row r="301" spans="1:9" x14ac:dyDescent="0.2">
      <c r="C301" s="10" t="s">
        <v>13</v>
      </c>
      <c r="E301" s="19" t="str">
        <f>C301</f>
        <v>Capital Total</v>
      </c>
      <c r="F301" s="20">
        <f>SUM(F294:F300)</f>
        <v>8000000</v>
      </c>
      <c r="G301" s="20">
        <f>SUM(G294:G300)</f>
        <v>500000</v>
      </c>
      <c r="H301" s="20">
        <f>SUM(H294:H300)</f>
        <v>2500000</v>
      </c>
    </row>
    <row r="302" spans="1:9" x14ac:dyDescent="0.2">
      <c r="C302" s="10" t="s">
        <v>14</v>
      </c>
      <c r="E302" s="10" t="s">
        <v>15</v>
      </c>
      <c r="F302" s="21">
        <v>100000</v>
      </c>
      <c r="G302" s="21">
        <v>100000</v>
      </c>
      <c r="H302" s="21">
        <v>100000</v>
      </c>
    </row>
    <row r="303" spans="1:9" x14ac:dyDescent="0.2">
      <c r="B303" s="10" t="s">
        <v>63</v>
      </c>
      <c r="E303" s="23" t="s">
        <v>17</v>
      </c>
      <c r="F303" s="24">
        <f>SUM(F301:F302)</f>
        <v>8100000</v>
      </c>
      <c r="G303" s="24">
        <f t="shared" ref="G303:H303" si="15">SUM(G301:G302)</f>
        <v>600000</v>
      </c>
      <c r="H303" s="24">
        <f t="shared" si="15"/>
        <v>2600000</v>
      </c>
    </row>
    <row r="305" spans="1:10" s="12" customFormat="1" x14ac:dyDescent="0.2">
      <c r="A305" s="91" t="e">
        <f>#REF!</f>
        <v>#REF!</v>
      </c>
      <c r="B305" s="91"/>
      <c r="C305" s="91"/>
      <c r="D305" s="99" t="s">
        <v>152</v>
      </c>
      <c r="E305" s="99"/>
      <c r="F305" s="99"/>
      <c r="G305" s="99"/>
      <c r="H305" s="99"/>
      <c r="I305" s="99"/>
    </row>
    <row r="306" spans="1:10" s="92" customFormat="1" ht="45" x14ac:dyDescent="0.2">
      <c r="D306" s="34" t="s">
        <v>8</v>
      </c>
      <c r="E306" s="35" t="s">
        <v>9</v>
      </c>
      <c r="F306" s="36" t="s">
        <v>719</v>
      </c>
      <c r="G306" s="36" t="s">
        <v>720</v>
      </c>
      <c r="H306" s="36" t="s">
        <v>721</v>
      </c>
      <c r="I306" s="35" t="s">
        <v>10</v>
      </c>
    </row>
    <row r="307" spans="1:10" x14ac:dyDescent="0.2">
      <c r="D307" s="9">
        <v>20230282</v>
      </c>
      <c r="E307" s="10" t="s">
        <v>255</v>
      </c>
      <c r="F307" s="11">
        <v>12800000</v>
      </c>
      <c r="G307" s="11">
        <v>10000000</v>
      </c>
      <c r="H307" s="11">
        <v>10000000</v>
      </c>
    </row>
    <row r="308" spans="1:10" x14ac:dyDescent="0.2">
      <c r="D308" s="9">
        <v>20190158</v>
      </c>
      <c r="E308" s="10" t="s">
        <v>526</v>
      </c>
      <c r="F308" s="11">
        <v>2000000</v>
      </c>
      <c r="G308" s="11"/>
      <c r="H308" s="11"/>
    </row>
    <row r="309" spans="1:10" s="12" customFormat="1" x14ac:dyDescent="0.2">
      <c r="A309" s="10"/>
      <c r="B309" s="10"/>
      <c r="C309" s="10"/>
      <c r="D309" s="9">
        <v>20240149</v>
      </c>
      <c r="E309" s="10" t="s">
        <v>256</v>
      </c>
      <c r="F309" s="11"/>
      <c r="G309" s="11">
        <v>465970</v>
      </c>
      <c r="H309" s="11"/>
      <c r="I309" s="10"/>
      <c r="J309" s="10"/>
    </row>
    <row r="310" spans="1:10" s="12" customFormat="1" x14ac:dyDescent="0.2">
      <c r="A310" s="10"/>
      <c r="B310" s="10"/>
      <c r="C310" s="10"/>
      <c r="D310" s="9">
        <v>20230277</v>
      </c>
      <c r="E310" s="10" t="s">
        <v>756</v>
      </c>
      <c r="F310" s="11">
        <v>500000</v>
      </c>
      <c r="G310" s="11"/>
      <c r="H310" s="11"/>
      <c r="I310" s="10"/>
      <c r="J310" s="10"/>
    </row>
    <row r="311" spans="1:10" x14ac:dyDescent="0.2">
      <c r="C311" s="10" t="s">
        <v>13</v>
      </c>
      <c r="E311" s="19" t="str">
        <f>C311</f>
        <v>Capital Total</v>
      </c>
      <c r="F311" s="20">
        <f>SUM(F307:F310)</f>
        <v>15300000</v>
      </c>
      <c r="G311" s="20">
        <f>SUM(G307:G310)</f>
        <v>10465970</v>
      </c>
      <c r="H311" s="20">
        <f>SUM(H307:H310)</f>
        <v>10000000</v>
      </c>
    </row>
    <row r="312" spans="1:10" x14ac:dyDescent="0.2">
      <c r="C312" s="10" t="s">
        <v>14</v>
      </c>
      <c r="E312" s="10" t="s">
        <v>15</v>
      </c>
      <c r="F312" s="21">
        <v>100000</v>
      </c>
      <c r="G312" s="21">
        <v>100000</v>
      </c>
      <c r="H312" s="21">
        <v>100000</v>
      </c>
    </row>
    <row r="313" spans="1:10" x14ac:dyDescent="0.2">
      <c r="B313" s="10" t="s">
        <v>64</v>
      </c>
      <c r="E313" s="23" t="s">
        <v>17</v>
      </c>
      <c r="F313" s="24">
        <f>SUM(F311:F312)</f>
        <v>15400000</v>
      </c>
      <c r="G313" s="24">
        <f t="shared" ref="G313:H313" si="16">SUM(G311:G312)</f>
        <v>10565970</v>
      </c>
      <c r="H313" s="24">
        <f t="shared" si="16"/>
        <v>10100000</v>
      </c>
    </row>
    <row r="314" spans="1:10" x14ac:dyDescent="0.2">
      <c r="E314" s="23"/>
      <c r="F314" s="11"/>
      <c r="G314" s="11"/>
      <c r="H314" s="11"/>
    </row>
    <row r="315" spans="1:10" s="12" customFormat="1" x14ac:dyDescent="0.2">
      <c r="A315" s="91" t="e">
        <f>#REF!</f>
        <v>#REF!</v>
      </c>
      <c r="B315" s="91"/>
      <c r="C315" s="91"/>
      <c r="D315" s="99" t="s">
        <v>65</v>
      </c>
      <c r="E315" s="99"/>
      <c r="F315" s="99"/>
      <c r="G315" s="99"/>
      <c r="H315" s="99"/>
      <c r="I315" s="99"/>
    </row>
    <row r="316" spans="1:10" s="92" customFormat="1" ht="45" x14ac:dyDescent="0.2">
      <c r="D316" s="34" t="s">
        <v>8</v>
      </c>
      <c r="E316" s="35" t="s">
        <v>9</v>
      </c>
      <c r="F316" s="36" t="s">
        <v>719</v>
      </c>
      <c r="G316" s="36" t="s">
        <v>720</v>
      </c>
      <c r="H316" s="36" t="s">
        <v>721</v>
      </c>
      <c r="I316" s="35" t="s">
        <v>10</v>
      </c>
    </row>
    <row r="317" spans="1:10" x14ac:dyDescent="0.2">
      <c r="D317" s="9">
        <v>20230276</v>
      </c>
      <c r="E317" s="10" t="s">
        <v>767</v>
      </c>
      <c r="F317" s="11">
        <v>1500000</v>
      </c>
      <c r="G317" s="11"/>
      <c r="H317" s="11"/>
    </row>
    <row r="318" spans="1:10" x14ac:dyDescent="0.2">
      <c r="D318" s="9">
        <v>20250316</v>
      </c>
      <c r="E318" s="10" t="s">
        <v>484</v>
      </c>
      <c r="F318" s="11">
        <v>20000</v>
      </c>
      <c r="G318" s="11"/>
      <c r="H318" s="11"/>
    </row>
    <row r="319" spans="1:10" x14ac:dyDescent="0.2">
      <c r="D319" s="9">
        <v>20250194</v>
      </c>
      <c r="E319" s="10" t="s">
        <v>846</v>
      </c>
      <c r="F319" s="11">
        <v>1240000</v>
      </c>
      <c r="G319" s="11"/>
      <c r="H319" s="11"/>
    </row>
    <row r="320" spans="1:10" x14ac:dyDescent="0.2">
      <c r="C320" s="10" t="s">
        <v>13</v>
      </c>
      <c r="E320" s="19" t="str">
        <f>C320</f>
        <v>Capital Total</v>
      </c>
      <c r="F320" s="20">
        <f>SUM(F317:F319)</f>
        <v>2760000</v>
      </c>
      <c r="G320" s="20">
        <f>SUM(G318:G319)</f>
        <v>0</v>
      </c>
      <c r="H320" s="20">
        <f>SUM(H318:H319)</f>
        <v>0</v>
      </c>
    </row>
    <row r="321" spans="1:9" x14ac:dyDescent="0.2">
      <c r="C321" s="10" t="s">
        <v>14</v>
      </c>
      <c r="E321" s="10" t="s">
        <v>15</v>
      </c>
      <c r="F321" s="21">
        <v>100000</v>
      </c>
      <c r="G321" s="21">
        <v>100000</v>
      </c>
      <c r="H321" s="21">
        <v>100000</v>
      </c>
    </row>
    <row r="322" spans="1:9" x14ac:dyDescent="0.2">
      <c r="B322" s="10" t="s">
        <v>66</v>
      </c>
      <c r="E322" s="23" t="s">
        <v>17</v>
      </c>
      <c r="F322" s="24">
        <f>SUM(F320:F321)</f>
        <v>2860000</v>
      </c>
      <c r="G322" s="24">
        <f t="shared" ref="G322:H322" si="17">SUM(G320:G321)</f>
        <v>100000</v>
      </c>
      <c r="H322" s="24">
        <f t="shared" si="17"/>
        <v>100000</v>
      </c>
    </row>
    <row r="323" spans="1:9" x14ac:dyDescent="0.2">
      <c r="E323" s="23"/>
      <c r="F323" s="11"/>
      <c r="G323" s="11"/>
      <c r="H323" s="11"/>
    </row>
    <row r="324" spans="1:9" s="12" customFormat="1" x14ac:dyDescent="0.2">
      <c r="A324" s="91" t="e">
        <f>#REF!</f>
        <v>#REF!</v>
      </c>
      <c r="B324" s="91"/>
      <c r="C324" s="91"/>
      <c r="D324" s="99" t="s">
        <v>718</v>
      </c>
      <c r="E324" s="99"/>
      <c r="F324" s="99"/>
      <c r="G324" s="99"/>
      <c r="H324" s="99"/>
      <c r="I324" s="99"/>
    </row>
    <row r="325" spans="1:9" s="92" customFormat="1" ht="45" x14ac:dyDescent="0.2">
      <c r="D325" s="34" t="s">
        <v>8</v>
      </c>
      <c r="E325" s="35" t="s">
        <v>9</v>
      </c>
      <c r="F325" s="36" t="s">
        <v>719</v>
      </c>
      <c r="G325" s="36" t="s">
        <v>720</v>
      </c>
      <c r="H325" s="36" t="s">
        <v>721</v>
      </c>
      <c r="I325" s="35" t="s">
        <v>10</v>
      </c>
    </row>
    <row r="326" spans="1:9" x14ac:dyDescent="0.2">
      <c r="D326" s="9">
        <v>20230276</v>
      </c>
      <c r="E326" s="10" t="s">
        <v>734</v>
      </c>
      <c r="F326" s="11">
        <v>1500000</v>
      </c>
      <c r="G326" s="11"/>
      <c r="H326" s="11"/>
    </row>
    <row r="327" spans="1:9" x14ac:dyDescent="0.2">
      <c r="C327" s="10" t="s">
        <v>13</v>
      </c>
      <c r="E327" s="19" t="str">
        <f>C327</f>
        <v>Capital Total</v>
      </c>
      <c r="F327" s="20">
        <f>SUM(F326:F326)</f>
        <v>1500000</v>
      </c>
      <c r="G327" s="20">
        <f>SUM(G326:G326)</f>
        <v>0</v>
      </c>
      <c r="H327" s="20">
        <f>SUM(H326:H326)</f>
        <v>0</v>
      </c>
    </row>
    <row r="328" spans="1:9" x14ac:dyDescent="0.2">
      <c r="E328" s="10" t="s">
        <v>832</v>
      </c>
      <c r="F328" s="29">
        <v>3243519.5</v>
      </c>
      <c r="G328" s="93"/>
      <c r="H328" s="93"/>
    </row>
    <row r="329" spans="1:9" x14ac:dyDescent="0.2">
      <c r="C329" s="10" t="s">
        <v>14</v>
      </c>
      <c r="E329" s="10" t="s">
        <v>15</v>
      </c>
      <c r="F329" s="21">
        <v>100000</v>
      </c>
      <c r="G329" s="21">
        <v>100000</v>
      </c>
      <c r="H329" s="21">
        <v>100000</v>
      </c>
    </row>
    <row r="330" spans="1:9" x14ac:dyDescent="0.2">
      <c r="B330" s="10" t="s">
        <v>67</v>
      </c>
      <c r="E330" s="23" t="s">
        <v>17</v>
      </c>
      <c r="F330" s="24">
        <f>SUM(F327:F329)</f>
        <v>4843519.5</v>
      </c>
      <c r="G330" s="24">
        <v>250000</v>
      </c>
      <c r="H330" s="24">
        <v>250000</v>
      </c>
    </row>
    <row r="331" spans="1:9" x14ac:dyDescent="0.2">
      <c r="F331" s="11"/>
      <c r="G331" s="11"/>
      <c r="H331" s="11"/>
    </row>
    <row r="332" spans="1:9" s="12" customFormat="1" x14ac:dyDescent="0.2">
      <c r="A332" s="91" t="e">
        <f>#REF!</f>
        <v>#REF!</v>
      </c>
      <c r="B332" s="91"/>
      <c r="C332" s="91"/>
      <c r="D332" s="99" t="s">
        <v>68</v>
      </c>
      <c r="E332" s="99"/>
      <c r="F332" s="99"/>
      <c r="G332" s="99"/>
      <c r="H332" s="99"/>
      <c r="I332" s="99"/>
    </row>
    <row r="333" spans="1:9" s="92" customFormat="1" ht="45" x14ac:dyDescent="0.2">
      <c r="D333" s="34" t="s">
        <v>8</v>
      </c>
      <c r="E333" s="35" t="s">
        <v>9</v>
      </c>
      <c r="F333" s="36" t="s">
        <v>719</v>
      </c>
      <c r="G333" s="36" t="s">
        <v>720</v>
      </c>
      <c r="H333" s="36" t="s">
        <v>721</v>
      </c>
      <c r="I333" s="35" t="s">
        <v>10</v>
      </c>
    </row>
    <row r="334" spans="1:9" x14ac:dyDescent="0.2">
      <c r="D334" s="9">
        <v>20200051</v>
      </c>
      <c r="E334" s="10" t="s">
        <v>793</v>
      </c>
      <c r="F334" s="11">
        <v>1000000</v>
      </c>
      <c r="G334" s="11"/>
      <c r="H334" s="11"/>
    </row>
    <row r="335" spans="1:9" x14ac:dyDescent="0.2">
      <c r="D335" s="9">
        <v>20230096</v>
      </c>
      <c r="E335" s="10" t="s">
        <v>257</v>
      </c>
      <c r="F335" s="11">
        <v>13000000</v>
      </c>
      <c r="G335" s="11">
        <v>18000000</v>
      </c>
      <c r="H335" s="11"/>
    </row>
    <row r="336" spans="1:9" x14ac:dyDescent="0.2">
      <c r="D336" s="9">
        <v>20230097</v>
      </c>
      <c r="E336" s="10" t="s">
        <v>258</v>
      </c>
      <c r="F336" s="11">
        <v>7000000</v>
      </c>
      <c r="G336" s="11">
        <v>4000000</v>
      </c>
      <c r="H336" s="11"/>
    </row>
    <row r="337" spans="4:8" x14ac:dyDescent="0.2">
      <c r="D337" s="9">
        <v>20230098</v>
      </c>
      <c r="E337" s="10" t="s">
        <v>259</v>
      </c>
      <c r="F337" s="11">
        <v>5000000</v>
      </c>
      <c r="G337" s="11">
        <v>3000000</v>
      </c>
      <c r="H337" s="11"/>
    </row>
    <row r="338" spans="4:8" x14ac:dyDescent="0.2">
      <c r="D338" s="9">
        <v>20230099</v>
      </c>
      <c r="E338" s="10" t="s">
        <v>260</v>
      </c>
      <c r="F338" s="11">
        <v>13000000</v>
      </c>
      <c r="G338" s="11">
        <v>6000000</v>
      </c>
      <c r="H338" s="11"/>
    </row>
    <row r="339" spans="4:8" x14ac:dyDescent="0.2">
      <c r="D339" s="9">
        <v>20230276</v>
      </c>
      <c r="E339" s="10" t="s">
        <v>740</v>
      </c>
      <c r="F339" s="5">
        <v>6500000</v>
      </c>
      <c r="G339" s="11"/>
      <c r="H339" s="11"/>
    </row>
    <row r="340" spans="4:8" x14ac:dyDescent="0.2">
      <c r="D340" s="9">
        <v>20240220</v>
      </c>
      <c r="E340" s="10" t="s">
        <v>579</v>
      </c>
      <c r="F340" s="11"/>
      <c r="G340" s="11">
        <v>500000</v>
      </c>
      <c r="H340" s="11">
        <v>500000</v>
      </c>
    </row>
    <row r="341" spans="4:8" x14ac:dyDescent="0.2">
      <c r="D341" s="9">
        <v>20240223</v>
      </c>
      <c r="E341" s="10" t="s">
        <v>581</v>
      </c>
      <c r="F341" s="11"/>
      <c r="G341" s="11">
        <v>500000</v>
      </c>
      <c r="H341" s="11">
        <v>500000</v>
      </c>
    </row>
    <row r="342" spans="4:8" x14ac:dyDescent="0.2">
      <c r="D342" s="9">
        <v>20240226</v>
      </c>
      <c r="E342" s="10" t="s">
        <v>583</v>
      </c>
      <c r="F342" s="11"/>
      <c r="G342" s="11">
        <v>500000</v>
      </c>
      <c r="H342" s="11">
        <v>500000</v>
      </c>
    </row>
    <row r="343" spans="4:8" x14ac:dyDescent="0.2">
      <c r="D343" s="9">
        <v>20240228</v>
      </c>
      <c r="E343" s="10" t="s">
        <v>584</v>
      </c>
      <c r="F343" s="11"/>
      <c r="G343" s="11">
        <v>500000</v>
      </c>
      <c r="H343" s="11">
        <v>500000</v>
      </c>
    </row>
    <row r="344" spans="4:8" x14ac:dyDescent="0.2">
      <c r="D344" s="27">
        <v>20250126</v>
      </c>
      <c r="E344" s="39" t="s">
        <v>261</v>
      </c>
      <c r="F344" s="11">
        <v>6468700</v>
      </c>
      <c r="G344" s="11">
        <v>7663510</v>
      </c>
      <c r="H344" s="11">
        <v>4000000</v>
      </c>
    </row>
    <row r="345" spans="4:8" x14ac:dyDescent="0.2">
      <c r="D345" s="25">
        <v>20250127</v>
      </c>
      <c r="E345" s="26" t="s">
        <v>262</v>
      </c>
      <c r="F345" s="11">
        <v>2000000</v>
      </c>
      <c r="G345" s="11">
        <v>2000000</v>
      </c>
      <c r="H345" s="11">
        <v>1000000</v>
      </c>
    </row>
    <row r="346" spans="4:8" x14ac:dyDescent="0.2">
      <c r="D346" s="25">
        <v>20250128</v>
      </c>
      <c r="E346" s="26" t="s">
        <v>263</v>
      </c>
      <c r="F346" s="11">
        <v>3000000</v>
      </c>
      <c r="G346" s="11">
        <v>3000000</v>
      </c>
      <c r="H346" s="11">
        <v>2000000</v>
      </c>
    </row>
    <row r="347" spans="4:8" x14ac:dyDescent="0.2">
      <c r="D347" s="9">
        <v>20250129</v>
      </c>
      <c r="E347" s="10" t="s">
        <v>264</v>
      </c>
      <c r="F347" s="5">
        <v>8000000</v>
      </c>
      <c r="G347" s="11">
        <v>8300000</v>
      </c>
      <c r="H347" s="11">
        <v>4800000</v>
      </c>
    </row>
    <row r="348" spans="4:8" x14ac:dyDescent="0.2">
      <c r="D348" s="9">
        <v>20250320</v>
      </c>
      <c r="E348" s="10" t="s">
        <v>847</v>
      </c>
      <c r="F348" s="11">
        <v>100000</v>
      </c>
      <c r="G348" s="11"/>
      <c r="H348" s="11">
        <v>200000</v>
      </c>
    </row>
    <row r="349" spans="4:8" x14ac:dyDescent="0.2">
      <c r="D349" s="9">
        <v>20250274</v>
      </c>
      <c r="E349" s="10" t="s">
        <v>608</v>
      </c>
      <c r="F349" s="11"/>
      <c r="G349" s="11"/>
      <c r="H349" s="11">
        <v>6956520</v>
      </c>
    </row>
    <row r="350" spans="4:8" x14ac:dyDescent="0.2">
      <c r="D350" s="9">
        <v>20250281</v>
      </c>
      <c r="E350" s="10" t="s">
        <v>609</v>
      </c>
      <c r="F350" s="11">
        <v>1478260</v>
      </c>
      <c r="G350" s="11"/>
      <c r="H350" s="11"/>
    </row>
    <row r="351" spans="4:8" x14ac:dyDescent="0.2">
      <c r="D351" s="9">
        <v>20250289</v>
      </c>
      <c r="E351" s="10" t="s">
        <v>614</v>
      </c>
      <c r="F351" s="11"/>
      <c r="G351" s="11"/>
      <c r="H351" s="11">
        <v>3478260</v>
      </c>
    </row>
    <row r="352" spans="4:8" x14ac:dyDescent="0.2">
      <c r="D352" s="9">
        <v>20250293</v>
      </c>
      <c r="E352" s="10" t="s">
        <v>519</v>
      </c>
      <c r="F352" s="11"/>
      <c r="G352" s="11"/>
      <c r="H352" s="11">
        <v>5652170</v>
      </c>
    </row>
    <row r="353" spans="1:9" x14ac:dyDescent="0.2">
      <c r="C353" s="10" t="s">
        <v>13</v>
      </c>
      <c r="E353" s="19" t="str">
        <f>C353</f>
        <v>Capital Total</v>
      </c>
      <c r="F353" s="20">
        <f>SUM(F334:F352)</f>
        <v>66546960</v>
      </c>
      <c r="G353" s="20">
        <f t="shared" ref="G353:H353" si="18">SUM(G334:G352)</f>
        <v>53963510</v>
      </c>
      <c r="H353" s="20">
        <f t="shared" si="18"/>
        <v>30086950</v>
      </c>
    </row>
    <row r="354" spans="1:9" x14ac:dyDescent="0.2">
      <c r="E354" s="10" t="s">
        <v>829</v>
      </c>
      <c r="F354" s="29">
        <v>4096143</v>
      </c>
      <c r="G354" s="93"/>
      <c r="H354" s="93"/>
    </row>
    <row r="355" spans="1:9" x14ac:dyDescent="0.2">
      <c r="C355" s="10" t="s">
        <v>14</v>
      </c>
      <c r="E355" s="10" t="s">
        <v>15</v>
      </c>
      <c r="F355" s="21">
        <v>100000</v>
      </c>
      <c r="G355" s="21">
        <v>100000</v>
      </c>
      <c r="H355" s="21">
        <v>100000</v>
      </c>
    </row>
    <row r="356" spans="1:9" x14ac:dyDescent="0.2">
      <c r="B356" s="10" t="s">
        <v>69</v>
      </c>
      <c r="E356" s="23" t="s">
        <v>17</v>
      </c>
      <c r="F356" s="24">
        <f>SUM(F353:F355)</f>
        <v>70743103</v>
      </c>
      <c r="G356" s="24">
        <f>SUM(G353:G355)</f>
        <v>54063510</v>
      </c>
      <c r="H356" s="24">
        <f>SUM(H353:H355)</f>
        <v>30186950</v>
      </c>
    </row>
    <row r="357" spans="1:9" x14ac:dyDescent="0.2">
      <c r="F357" s="11"/>
      <c r="G357" s="11"/>
      <c r="H357" s="11"/>
    </row>
    <row r="358" spans="1:9" s="12" customFormat="1" x14ac:dyDescent="0.2">
      <c r="A358" s="91" t="e">
        <f>#REF!</f>
        <v>#REF!</v>
      </c>
      <c r="B358" s="91"/>
      <c r="C358" s="91"/>
      <c r="D358" s="99" t="s">
        <v>70</v>
      </c>
      <c r="E358" s="99"/>
      <c r="F358" s="99"/>
      <c r="G358" s="99"/>
      <c r="H358" s="99"/>
      <c r="I358" s="99"/>
    </row>
    <row r="359" spans="1:9" s="92" customFormat="1" ht="45" x14ac:dyDescent="0.2">
      <c r="D359" s="34" t="s">
        <v>8</v>
      </c>
      <c r="E359" s="35" t="s">
        <v>9</v>
      </c>
      <c r="F359" s="36" t="s">
        <v>719</v>
      </c>
      <c r="G359" s="36" t="s">
        <v>720</v>
      </c>
      <c r="H359" s="36" t="s">
        <v>721</v>
      </c>
      <c r="I359" s="35" t="s">
        <v>10</v>
      </c>
    </row>
    <row r="360" spans="1:9" x14ac:dyDescent="0.2">
      <c r="D360" s="9">
        <v>20220095</v>
      </c>
      <c r="E360" s="10" t="s">
        <v>265</v>
      </c>
      <c r="F360" s="11">
        <v>2000000</v>
      </c>
      <c r="G360" s="11"/>
      <c r="H360" s="11"/>
    </row>
    <row r="361" spans="1:9" x14ac:dyDescent="0.2">
      <c r="D361" s="9">
        <v>20190257</v>
      </c>
      <c r="E361" s="10" t="s">
        <v>890</v>
      </c>
      <c r="F361" s="11">
        <v>500000</v>
      </c>
      <c r="G361" s="11"/>
      <c r="H361" s="11"/>
    </row>
    <row r="362" spans="1:9" x14ac:dyDescent="0.2">
      <c r="D362" s="9">
        <v>20230277</v>
      </c>
      <c r="E362" s="10" t="s">
        <v>757</v>
      </c>
      <c r="F362" s="11">
        <f>800000+250000</f>
        <v>1050000</v>
      </c>
      <c r="G362" s="11"/>
      <c r="H362" s="11"/>
    </row>
    <row r="363" spans="1:9" x14ac:dyDescent="0.2">
      <c r="D363" s="9">
        <v>20250294</v>
      </c>
      <c r="E363" s="10" t="s">
        <v>520</v>
      </c>
      <c r="F363" s="11"/>
      <c r="G363" s="11">
        <v>5652170</v>
      </c>
      <c r="H363" s="11"/>
    </row>
    <row r="364" spans="1:9" x14ac:dyDescent="0.2">
      <c r="C364" s="10" t="s">
        <v>13</v>
      </c>
      <c r="E364" s="19" t="str">
        <f>C364</f>
        <v>Capital Total</v>
      </c>
      <c r="F364" s="20">
        <f>SUM(F360:F363)</f>
        <v>3550000</v>
      </c>
      <c r="G364" s="20">
        <f>SUM(G360:G363)</f>
        <v>5652170</v>
      </c>
      <c r="H364" s="20">
        <f>SUM(H360:H363)</f>
        <v>0</v>
      </c>
    </row>
    <row r="365" spans="1:9" x14ac:dyDescent="0.2">
      <c r="E365" s="10" t="s">
        <v>848</v>
      </c>
      <c r="F365" s="93"/>
      <c r="G365" s="93"/>
      <c r="H365" s="93"/>
    </row>
    <row r="366" spans="1:9" x14ac:dyDescent="0.2">
      <c r="C366" s="10" t="s">
        <v>14</v>
      </c>
      <c r="E366" s="10" t="s">
        <v>15</v>
      </c>
      <c r="F366" s="21">
        <v>100000</v>
      </c>
      <c r="G366" s="21">
        <v>100000</v>
      </c>
      <c r="H366" s="21">
        <v>100000</v>
      </c>
    </row>
    <row r="367" spans="1:9" x14ac:dyDescent="0.2">
      <c r="B367" s="10" t="s">
        <v>71</v>
      </c>
      <c r="E367" s="23" t="s">
        <v>17</v>
      </c>
      <c r="F367" s="24">
        <f>SUM(F364:F366)</f>
        <v>3650000</v>
      </c>
      <c r="G367" s="24">
        <f t="shared" ref="G367:H367" si="19">SUM(G364:G366)</f>
        <v>5752170</v>
      </c>
      <c r="H367" s="24">
        <f t="shared" si="19"/>
        <v>100000</v>
      </c>
    </row>
    <row r="369" spans="1:9" s="12" customFormat="1" x14ac:dyDescent="0.2">
      <c r="A369" s="91" t="str">
        <f>B371</f>
        <v>WARD 31</v>
      </c>
      <c r="B369" s="91"/>
      <c r="C369" s="91"/>
      <c r="D369" s="99" t="str">
        <f>A369</f>
        <v>WARD 31</v>
      </c>
      <c r="E369" s="99"/>
      <c r="F369" s="99"/>
      <c r="G369" s="99"/>
      <c r="H369" s="99"/>
      <c r="I369" s="99"/>
    </row>
    <row r="370" spans="1:9" s="92" customFormat="1" ht="45" x14ac:dyDescent="0.2">
      <c r="D370" s="34" t="s">
        <v>8</v>
      </c>
      <c r="E370" s="35" t="s">
        <v>9</v>
      </c>
      <c r="F370" s="36" t="s">
        <v>719</v>
      </c>
      <c r="G370" s="36" t="s">
        <v>720</v>
      </c>
      <c r="H370" s="36" t="s">
        <v>721</v>
      </c>
      <c r="I370" s="35" t="s">
        <v>10</v>
      </c>
    </row>
    <row r="371" spans="1:9" x14ac:dyDescent="0.2">
      <c r="A371" s="10">
        <v>31</v>
      </c>
      <c r="B371" s="10" t="s">
        <v>72</v>
      </c>
      <c r="C371" s="10" t="s">
        <v>12</v>
      </c>
      <c r="D371" s="9">
        <v>20170022</v>
      </c>
      <c r="E371" s="10" t="s">
        <v>794</v>
      </c>
      <c r="F371" s="11">
        <v>2200000</v>
      </c>
      <c r="G371" s="11"/>
      <c r="H371" s="11"/>
    </row>
    <row r="372" spans="1:9" x14ac:dyDescent="0.2">
      <c r="D372" s="9">
        <v>20220078</v>
      </c>
      <c r="E372" s="10" t="s">
        <v>688</v>
      </c>
      <c r="F372" s="11"/>
      <c r="G372" s="11">
        <v>5217390</v>
      </c>
      <c r="H372" s="11">
        <v>5565220</v>
      </c>
    </row>
    <row r="373" spans="1:9" x14ac:dyDescent="0.2">
      <c r="D373" s="9">
        <v>20220080</v>
      </c>
      <c r="E373" s="10" t="s">
        <v>689</v>
      </c>
      <c r="F373" s="11"/>
      <c r="G373" s="11">
        <v>1956530</v>
      </c>
      <c r="H373" s="11">
        <v>2086960</v>
      </c>
    </row>
    <row r="374" spans="1:9" x14ac:dyDescent="0.2">
      <c r="D374" s="9">
        <v>20220081</v>
      </c>
      <c r="E374" s="10" t="s">
        <v>690</v>
      </c>
      <c r="F374" s="11"/>
      <c r="G374" s="11">
        <v>1956530</v>
      </c>
      <c r="H374" s="11">
        <v>2086960</v>
      </c>
    </row>
    <row r="375" spans="1:9" x14ac:dyDescent="0.2">
      <c r="D375" s="9">
        <v>20220082</v>
      </c>
      <c r="E375" s="10" t="s">
        <v>691</v>
      </c>
      <c r="F375" s="11"/>
      <c r="G375" s="11">
        <v>3913040</v>
      </c>
      <c r="H375" s="11">
        <v>4173910</v>
      </c>
    </row>
    <row r="376" spans="1:9" x14ac:dyDescent="0.2">
      <c r="D376" s="9">
        <v>20220122</v>
      </c>
      <c r="E376" s="10" t="s">
        <v>551</v>
      </c>
      <c r="F376" s="11">
        <v>14000000</v>
      </c>
      <c r="G376" s="11"/>
      <c r="H376" s="11"/>
    </row>
    <row r="377" spans="1:9" x14ac:dyDescent="0.2">
      <c r="D377" s="9">
        <v>20230012</v>
      </c>
      <c r="E377" s="10" t="s">
        <v>280</v>
      </c>
      <c r="F377" s="11">
        <v>1500000</v>
      </c>
      <c r="G377" s="11"/>
      <c r="H377" s="11"/>
    </row>
    <row r="378" spans="1:9" x14ac:dyDescent="0.2">
      <c r="D378" s="9">
        <v>20230220</v>
      </c>
      <c r="E378" s="10" t="s">
        <v>782</v>
      </c>
      <c r="F378" s="11">
        <v>1500000</v>
      </c>
      <c r="G378" s="11"/>
      <c r="H378" s="11"/>
    </row>
    <row r="379" spans="1:9" x14ac:dyDescent="0.2">
      <c r="D379" s="9">
        <v>20230276</v>
      </c>
      <c r="E379" s="10" t="s">
        <v>741</v>
      </c>
      <c r="F379" s="11">
        <v>6500000</v>
      </c>
      <c r="G379" s="11"/>
      <c r="H379" s="11"/>
    </row>
    <row r="380" spans="1:9" x14ac:dyDescent="0.2">
      <c r="D380" s="9">
        <v>20240313</v>
      </c>
      <c r="E380" s="10" t="s">
        <v>692</v>
      </c>
      <c r="F380" s="11">
        <v>11304350</v>
      </c>
      <c r="G380" s="11">
        <v>7347830</v>
      </c>
      <c r="H380" s="11"/>
    </row>
    <row r="381" spans="1:9" x14ac:dyDescent="0.2">
      <c r="D381" s="9">
        <v>20250240</v>
      </c>
      <c r="E381" s="10" t="s">
        <v>693</v>
      </c>
      <c r="F381" s="11"/>
      <c r="G381" s="11">
        <v>13043480</v>
      </c>
      <c r="H381" s="11">
        <v>13478260</v>
      </c>
    </row>
    <row r="382" spans="1:9" x14ac:dyDescent="0.2">
      <c r="C382" s="10" t="s">
        <v>13</v>
      </c>
      <c r="E382" s="19" t="str">
        <f>C382</f>
        <v>Capital Total</v>
      </c>
      <c r="F382" s="20">
        <f>SUM(F371:F381)</f>
        <v>37004350</v>
      </c>
      <c r="G382" s="20">
        <f>SUM(G371:G381)</f>
        <v>33434800</v>
      </c>
      <c r="H382" s="20">
        <f>SUM(H371:H381)</f>
        <v>27391310</v>
      </c>
    </row>
    <row r="383" spans="1:9" x14ac:dyDescent="0.2">
      <c r="C383" s="10" t="s">
        <v>14</v>
      </c>
      <c r="E383" s="10" t="s">
        <v>15</v>
      </c>
      <c r="F383" s="21">
        <v>100000</v>
      </c>
      <c r="G383" s="21">
        <v>100000</v>
      </c>
      <c r="H383" s="21">
        <v>100000</v>
      </c>
    </row>
    <row r="384" spans="1:9" x14ac:dyDescent="0.2">
      <c r="B384" s="10" t="s">
        <v>73</v>
      </c>
      <c r="E384" s="23" t="s">
        <v>17</v>
      </c>
      <c r="F384" s="24">
        <f>SUM(F382:F383)</f>
        <v>37104350</v>
      </c>
      <c r="G384" s="24">
        <f>SUM(G382:G383)</f>
        <v>33534800</v>
      </c>
      <c r="H384" s="24">
        <f>SUM(H382:H383)</f>
        <v>27491310</v>
      </c>
    </row>
    <row r="385" spans="1:9" x14ac:dyDescent="0.2">
      <c r="E385" s="23"/>
      <c r="F385" s="11"/>
      <c r="G385" s="11"/>
      <c r="H385" s="11"/>
    </row>
    <row r="386" spans="1:9" s="12" customFormat="1" x14ac:dyDescent="0.2">
      <c r="A386" s="91" t="str">
        <f>B388</f>
        <v>WARD 32</v>
      </c>
      <c r="B386" s="91"/>
      <c r="C386" s="91"/>
      <c r="D386" s="99" t="str">
        <f>A386</f>
        <v>WARD 32</v>
      </c>
      <c r="E386" s="99"/>
      <c r="F386" s="99"/>
      <c r="G386" s="99"/>
      <c r="H386" s="99"/>
      <c r="I386" s="99"/>
    </row>
    <row r="387" spans="1:9" s="92" customFormat="1" ht="45" x14ac:dyDescent="0.2">
      <c r="D387" s="34" t="s">
        <v>8</v>
      </c>
      <c r="E387" s="35" t="s">
        <v>9</v>
      </c>
      <c r="F387" s="36" t="s">
        <v>719</v>
      </c>
      <c r="G387" s="36" t="s">
        <v>720</v>
      </c>
      <c r="H387" s="36" t="s">
        <v>721</v>
      </c>
      <c r="I387" s="35" t="s">
        <v>10</v>
      </c>
    </row>
    <row r="388" spans="1:9" x14ac:dyDescent="0.2">
      <c r="A388" s="10">
        <v>32</v>
      </c>
      <c r="B388" s="10" t="s">
        <v>74</v>
      </c>
      <c r="C388" s="10" t="s">
        <v>12</v>
      </c>
      <c r="D388" s="9">
        <v>20190054</v>
      </c>
      <c r="E388" s="10" t="s">
        <v>525</v>
      </c>
      <c r="F388" s="11">
        <v>400000</v>
      </c>
      <c r="G388" s="11"/>
      <c r="H388" s="11"/>
    </row>
    <row r="389" spans="1:9" x14ac:dyDescent="0.2">
      <c r="D389" s="9">
        <v>20230213</v>
      </c>
      <c r="E389" s="10" t="s">
        <v>694</v>
      </c>
      <c r="F389" s="11">
        <v>1700000</v>
      </c>
      <c r="G389" s="11"/>
      <c r="H389" s="11"/>
    </row>
    <row r="390" spans="1:9" x14ac:dyDescent="0.2">
      <c r="D390" s="9">
        <v>20230277</v>
      </c>
      <c r="E390" s="10" t="s">
        <v>758</v>
      </c>
      <c r="F390" s="11">
        <v>400000</v>
      </c>
      <c r="G390" s="11"/>
      <c r="H390" s="11"/>
    </row>
    <row r="391" spans="1:9" x14ac:dyDescent="0.2">
      <c r="F391" s="11"/>
      <c r="G391" s="11"/>
      <c r="H391" s="11"/>
    </row>
    <row r="392" spans="1:9" x14ac:dyDescent="0.2">
      <c r="C392" s="10" t="s">
        <v>13</v>
      </c>
      <c r="E392" s="19" t="str">
        <f>C392</f>
        <v>Capital Total</v>
      </c>
      <c r="F392" s="20">
        <f>SUM(F388:F391)</f>
        <v>2500000</v>
      </c>
      <c r="G392" s="20">
        <f>SUM(G388:G391)</f>
        <v>0</v>
      </c>
      <c r="H392" s="20">
        <f>SUM(H388:H391)</f>
        <v>0</v>
      </c>
    </row>
    <row r="393" spans="1:9" x14ac:dyDescent="0.2">
      <c r="C393" s="10" t="s">
        <v>14</v>
      </c>
      <c r="E393" s="10" t="s">
        <v>15</v>
      </c>
      <c r="F393" s="21">
        <v>100000</v>
      </c>
      <c r="G393" s="21">
        <v>100000</v>
      </c>
      <c r="H393" s="21">
        <v>100000</v>
      </c>
    </row>
    <row r="394" spans="1:9" x14ac:dyDescent="0.2">
      <c r="B394" s="10" t="s">
        <v>75</v>
      </c>
      <c r="E394" s="23" t="s">
        <v>17</v>
      </c>
      <c r="F394" s="24">
        <f>SUM(F392:F393)</f>
        <v>2600000</v>
      </c>
      <c r="G394" s="24">
        <f t="shared" ref="G394:H394" si="20">SUM(G392:G393)</f>
        <v>100000</v>
      </c>
      <c r="H394" s="24">
        <f t="shared" si="20"/>
        <v>100000</v>
      </c>
    </row>
    <row r="395" spans="1:9" x14ac:dyDescent="0.2">
      <c r="E395" s="23"/>
      <c r="F395" s="11"/>
      <c r="G395" s="11"/>
      <c r="H395" s="11"/>
    </row>
    <row r="396" spans="1:9" s="12" customFormat="1" x14ac:dyDescent="0.2">
      <c r="A396" s="91" t="str">
        <f>B398</f>
        <v>WARD 33</v>
      </c>
      <c r="B396" s="91"/>
      <c r="C396" s="91"/>
      <c r="D396" s="99" t="str">
        <f>A396</f>
        <v>WARD 33</v>
      </c>
      <c r="E396" s="99"/>
      <c r="F396" s="99"/>
      <c r="G396" s="99"/>
      <c r="H396" s="99"/>
      <c r="I396" s="99"/>
    </row>
    <row r="397" spans="1:9" s="92" customFormat="1" ht="45" x14ac:dyDescent="0.2">
      <c r="D397" s="34" t="s">
        <v>8</v>
      </c>
      <c r="E397" s="35" t="s">
        <v>9</v>
      </c>
      <c r="F397" s="36" t="s">
        <v>719</v>
      </c>
      <c r="G397" s="36" t="s">
        <v>720</v>
      </c>
      <c r="H397" s="36" t="s">
        <v>721</v>
      </c>
      <c r="I397" s="35" t="s">
        <v>10</v>
      </c>
    </row>
    <row r="398" spans="1:9" x14ac:dyDescent="0.2">
      <c r="A398" s="10">
        <v>33</v>
      </c>
      <c r="B398" s="10" t="s">
        <v>76</v>
      </c>
      <c r="C398" s="10" t="s">
        <v>12</v>
      </c>
      <c r="D398" s="9">
        <v>20200054</v>
      </c>
      <c r="E398" s="10" t="s">
        <v>795</v>
      </c>
      <c r="F398" s="11">
        <v>1000000</v>
      </c>
      <c r="G398" s="11"/>
      <c r="H398" s="11"/>
    </row>
    <row r="399" spans="1:9" x14ac:dyDescent="0.2">
      <c r="D399" s="9">
        <v>20200054</v>
      </c>
      <c r="E399" s="10" t="s">
        <v>796</v>
      </c>
      <c r="F399" s="11">
        <v>2000000</v>
      </c>
      <c r="G399" s="11"/>
      <c r="H399" s="11"/>
    </row>
    <row r="400" spans="1:9" x14ac:dyDescent="0.2">
      <c r="D400" s="9">
        <v>20200054</v>
      </c>
      <c r="E400" s="10" t="s">
        <v>797</v>
      </c>
      <c r="F400" s="11">
        <v>2500000</v>
      </c>
      <c r="G400" s="11"/>
      <c r="H400" s="11"/>
    </row>
    <row r="401" spans="1:9" x14ac:dyDescent="0.2">
      <c r="D401" s="9">
        <v>20230130</v>
      </c>
      <c r="E401" s="10" t="s">
        <v>695</v>
      </c>
      <c r="F401" s="11"/>
      <c r="G401" s="11">
        <v>6500000</v>
      </c>
      <c r="H401" s="11">
        <v>10000000</v>
      </c>
    </row>
    <row r="402" spans="1:9" x14ac:dyDescent="0.2">
      <c r="D402" s="9">
        <v>20230131</v>
      </c>
      <c r="E402" s="10" t="s">
        <v>696</v>
      </c>
      <c r="F402" s="11"/>
      <c r="G402" s="11">
        <v>2000000</v>
      </c>
      <c r="H402" s="11">
        <v>3000000</v>
      </c>
    </row>
    <row r="403" spans="1:9" x14ac:dyDescent="0.2">
      <c r="D403" s="9">
        <v>20230132</v>
      </c>
      <c r="E403" s="10" t="s">
        <v>697</v>
      </c>
      <c r="F403" s="11"/>
      <c r="G403" s="11">
        <v>2500000</v>
      </c>
      <c r="H403" s="11">
        <v>2000000</v>
      </c>
    </row>
    <row r="404" spans="1:9" x14ac:dyDescent="0.2">
      <c r="D404" s="9">
        <v>20230133</v>
      </c>
      <c r="E404" s="10" t="s">
        <v>698</v>
      </c>
      <c r="F404" s="11"/>
      <c r="G404" s="11">
        <v>4800320</v>
      </c>
      <c r="H404" s="11">
        <v>4000000</v>
      </c>
    </row>
    <row r="405" spans="1:9" x14ac:dyDescent="0.2">
      <c r="D405" s="9">
        <v>20230276</v>
      </c>
      <c r="E405" s="10" t="s">
        <v>735</v>
      </c>
      <c r="F405" s="11">
        <v>4500000</v>
      </c>
      <c r="G405" s="11"/>
      <c r="H405" s="11"/>
    </row>
    <row r="406" spans="1:9" x14ac:dyDescent="0.2">
      <c r="D406" s="9">
        <v>20230277</v>
      </c>
      <c r="E406" s="10" t="s">
        <v>759</v>
      </c>
      <c r="F406" s="11">
        <v>400000</v>
      </c>
      <c r="G406" s="11"/>
      <c r="H406" s="11"/>
    </row>
    <row r="407" spans="1:9" x14ac:dyDescent="0.2">
      <c r="D407" s="9">
        <v>20230356</v>
      </c>
      <c r="E407" s="10" t="s">
        <v>560</v>
      </c>
      <c r="F407" s="11">
        <v>3478260</v>
      </c>
      <c r="G407" s="11"/>
      <c r="H407" s="11"/>
    </row>
    <row r="408" spans="1:9" x14ac:dyDescent="0.2">
      <c r="D408" s="9">
        <v>20240209</v>
      </c>
      <c r="E408" s="10" t="s">
        <v>699</v>
      </c>
      <c r="F408" s="11"/>
      <c r="G408" s="11">
        <v>500000</v>
      </c>
      <c r="H408" s="11">
        <v>500000</v>
      </c>
    </row>
    <row r="409" spans="1:9" x14ac:dyDescent="0.2">
      <c r="F409" s="11"/>
      <c r="G409" s="11"/>
      <c r="H409" s="11"/>
    </row>
    <row r="410" spans="1:9" x14ac:dyDescent="0.2">
      <c r="C410" s="10" t="s">
        <v>13</v>
      </c>
      <c r="E410" s="19" t="str">
        <f>C410</f>
        <v>Capital Total</v>
      </c>
      <c r="F410" s="20">
        <f>SUM(F398:F409)</f>
        <v>13878260</v>
      </c>
      <c r="G410" s="20">
        <f>SUM(G398:G409)</f>
        <v>16300320</v>
      </c>
      <c r="H410" s="20">
        <f>SUM(H398:H409)</f>
        <v>19500000</v>
      </c>
    </row>
    <row r="411" spans="1:9" x14ac:dyDescent="0.2">
      <c r="E411" s="10" t="s">
        <v>832</v>
      </c>
      <c r="F411" s="29">
        <v>3243519.5</v>
      </c>
      <c r="G411" s="93"/>
      <c r="H411" s="93"/>
    </row>
    <row r="412" spans="1:9" x14ac:dyDescent="0.2">
      <c r="C412" s="10" t="s">
        <v>14</v>
      </c>
      <c r="E412" s="10" t="s">
        <v>15</v>
      </c>
      <c r="F412" s="21">
        <v>100000</v>
      </c>
      <c r="G412" s="21">
        <v>100000</v>
      </c>
      <c r="H412" s="21">
        <v>100000</v>
      </c>
    </row>
    <row r="413" spans="1:9" x14ac:dyDescent="0.2">
      <c r="B413" s="10" t="s">
        <v>77</v>
      </c>
      <c r="E413" s="23" t="s">
        <v>17</v>
      </c>
      <c r="F413" s="24">
        <f>SUM(F410:F412)</f>
        <v>17221779.5</v>
      </c>
      <c r="G413" s="24">
        <f>SUM(G410:G412)</f>
        <v>16400320</v>
      </c>
      <c r="H413" s="24">
        <f>SUM(H410:H412)</f>
        <v>19600000</v>
      </c>
    </row>
    <row r="414" spans="1:9" x14ac:dyDescent="0.2">
      <c r="F414" s="11"/>
      <c r="G414" s="11"/>
      <c r="H414" s="11"/>
    </row>
    <row r="415" spans="1:9" s="12" customFormat="1" x14ac:dyDescent="0.2">
      <c r="A415" s="91" t="str">
        <f>B417</f>
        <v>WARD 34</v>
      </c>
      <c r="B415" s="91"/>
      <c r="C415" s="91"/>
      <c r="D415" s="99" t="str">
        <f>A415</f>
        <v>WARD 34</v>
      </c>
      <c r="E415" s="99"/>
      <c r="F415" s="99"/>
      <c r="G415" s="99"/>
      <c r="H415" s="99"/>
      <c r="I415" s="99"/>
    </row>
    <row r="416" spans="1:9" s="92" customFormat="1" ht="45" x14ac:dyDescent="0.2">
      <c r="D416" s="34" t="s">
        <v>8</v>
      </c>
      <c r="E416" s="35" t="s">
        <v>9</v>
      </c>
      <c r="F416" s="36" t="s">
        <v>719</v>
      </c>
      <c r="G416" s="36" t="s">
        <v>720</v>
      </c>
      <c r="H416" s="36" t="s">
        <v>721</v>
      </c>
      <c r="I416" s="35" t="s">
        <v>10</v>
      </c>
    </row>
    <row r="417" spans="1:9" x14ac:dyDescent="0.2">
      <c r="A417" s="10">
        <v>34</v>
      </c>
      <c r="B417" s="10" t="s">
        <v>78</v>
      </c>
      <c r="C417" s="10" t="s">
        <v>12</v>
      </c>
      <c r="D417" s="9">
        <v>20230276</v>
      </c>
      <c r="E417" s="10" t="s">
        <v>742</v>
      </c>
      <c r="F417" s="11">
        <v>1000000</v>
      </c>
      <c r="G417" s="11"/>
      <c r="H417" s="11"/>
    </row>
    <row r="418" spans="1:9" x14ac:dyDescent="0.2">
      <c r="E418" s="10" t="s">
        <v>849</v>
      </c>
      <c r="F418" s="11"/>
      <c r="G418" s="11"/>
      <c r="H418" s="11"/>
    </row>
    <row r="419" spans="1:9" x14ac:dyDescent="0.2">
      <c r="D419" s="9">
        <v>20230277</v>
      </c>
      <c r="E419" s="10" t="s">
        <v>760</v>
      </c>
      <c r="F419" s="11">
        <v>400000</v>
      </c>
      <c r="G419" s="11"/>
      <c r="H419" s="11"/>
    </row>
    <row r="420" spans="1:9" x14ac:dyDescent="0.2">
      <c r="F420" s="11"/>
      <c r="G420" s="11"/>
      <c r="H420" s="11"/>
    </row>
    <row r="421" spans="1:9" x14ac:dyDescent="0.2">
      <c r="C421" s="10" t="s">
        <v>13</v>
      </c>
      <c r="E421" s="19" t="str">
        <f>C421</f>
        <v>Capital Total</v>
      </c>
      <c r="F421" s="20">
        <f>SUM(F417:F420)</f>
        <v>1400000</v>
      </c>
      <c r="G421" s="20">
        <f>SUM(G417:G420)</f>
        <v>0</v>
      </c>
      <c r="H421" s="20">
        <f>SUM(H417:H420)</f>
        <v>0</v>
      </c>
    </row>
    <row r="422" spans="1:9" x14ac:dyDescent="0.2">
      <c r="C422" s="10" t="s">
        <v>14</v>
      </c>
      <c r="E422" s="10" t="s">
        <v>15</v>
      </c>
      <c r="F422" s="21">
        <v>100000</v>
      </c>
      <c r="G422" s="21">
        <v>100000</v>
      </c>
      <c r="H422" s="21">
        <v>100000</v>
      </c>
    </row>
    <row r="423" spans="1:9" x14ac:dyDescent="0.2">
      <c r="B423" s="10" t="s">
        <v>79</v>
      </c>
      <c r="E423" s="23" t="s">
        <v>17</v>
      </c>
      <c r="F423" s="24">
        <f>SUM(F421:F422)</f>
        <v>1500000</v>
      </c>
      <c r="G423" s="24">
        <f t="shared" ref="G423:H423" si="21">SUM(G421:G422)</f>
        <v>100000</v>
      </c>
      <c r="H423" s="24">
        <f t="shared" si="21"/>
        <v>100000</v>
      </c>
    </row>
    <row r="424" spans="1:9" x14ac:dyDescent="0.2">
      <c r="E424" s="23"/>
      <c r="F424" s="11"/>
      <c r="G424" s="11"/>
      <c r="H424" s="11"/>
    </row>
    <row r="425" spans="1:9" s="12" customFormat="1" x14ac:dyDescent="0.2">
      <c r="A425" s="91" t="str">
        <f>B427</f>
        <v>WARD 35</v>
      </c>
      <c r="B425" s="91"/>
      <c r="C425" s="91"/>
      <c r="D425" s="99" t="str">
        <f>A425</f>
        <v>WARD 35</v>
      </c>
      <c r="E425" s="99"/>
      <c r="F425" s="99"/>
      <c r="G425" s="99"/>
      <c r="H425" s="99"/>
      <c r="I425" s="99"/>
    </row>
    <row r="426" spans="1:9" s="92" customFormat="1" ht="45" x14ac:dyDescent="0.2">
      <c r="D426" s="34" t="s">
        <v>8</v>
      </c>
      <c r="E426" s="35" t="s">
        <v>9</v>
      </c>
      <c r="F426" s="36" t="s">
        <v>719</v>
      </c>
      <c r="G426" s="36" t="s">
        <v>720</v>
      </c>
      <c r="H426" s="36" t="s">
        <v>721</v>
      </c>
      <c r="I426" s="35" t="s">
        <v>10</v>
      </c>
    </row>
    <row r="427" spans="1:9" x14ac:dyDescent="0.2">
      <c r="A427" s="10">
        <v>35</v>
      </c>
      <c r="B427" s="10" t="s">
        <v>80</v>
      </c>
      <c r="C427" s="10" t="s">
        <v>12</v>
      </c>
      <c r="D427" s="9">
        <v>20220094</v>
      </c>
      <c r="E427" s="10" t="s">
        <v>702</v>
      </c>
      <c r="F427" s="11">
        <v>3500000</v>
      </c>
      <c r="G427" s="11"/>
      <c r="H427" s="11"/>
      <c r="I427" s="10">
        <v>3500000</v>
      </c>
    </row>
    <row r="428" spans="1:9" x14ac:dyDescent="0.2">
      <c r="D428" s="9">
        <v>20230280</v>
      </c>
      <c r="E428" s="10" t="s">
        <v>703</v>
      </c>
      <c r="F428" s="11">
        <v>500000</v>
      </c>
      <c r="G428" s="11">
        <v>500000</v>
      </c>
      <c r="H428" s="11">
        <v>500000</v>
      </c>
      <c r="I428" s="10">
        <v>1500000</v>
      </c>
    </row>
    <row r="429" spans="1:9" x14ac:dyDescent="0.2">
      <c r="D429" s="9">
        <v>20240151</v>
      </c>
      <c r="E429" s="10" t="s">
        <v>714</v>
      </c>
      <c r="F429" s="11"/>
      <c r="G429" s="11">
        <v>1600000</v>
      </c>
      <c r="H429" s="11"/>
      <c r="I429" s="10">
        <v>1600000</v>
      </c>
    </row>
    <row r="430" spans="1:9" x14ac:dyDescent="0.2">
      <c r="D430" s="9">
        <v>20230277</v>
      </c>
      <c r="E430" s="10" t="s">
        <v>761</v>
      </c>
      <c r="F430" s="11">
        <v>400000</v>
      </c>
      <c r="G430" s="11"/>
      <c r="H430" s="11"/>
    </row>
    <row r="431" spans="1:9" x14ac:dyDescent="0.2">
      <c r="C431" s="10" t="s">
        <v>13</v>
      </c>
      <c r="E431" s="19" t="str">
        <f>C431</f>
        <v>Capital Total</v>
      </c>
      <c r="F431" s="20">
        <f>SUM(F427:F430)</f>
        <v>4400000</v>
      </c>
      <c r="G431" s="20">
        <f>SUM(G427:G430)</f>
        <v>2100000</v>
      </c>
      <c r="H431" s="20">
        <f>SUM(H427:H430)</f>
        <v>500000</v>
      </c>
    </row>
    <row r="432" spans="1:9" x14ac:dyDescent="0.2">
      <c r="C432" s="10" t="s">
        <v>14</v>
      </c>
      <c r="E432" s="10" t="s">
        <v>15</v>
      </c>
      <c r="F432" s="21">
        <v>100000</v>
      </c>
      <c r="G432" s="21">
        <v>100000</v>
      </c>
      <c r="H432" s="21">
        <v>100000</v>
      </c>
    </row>
    <row r="433" spans="1:9" x14ac:dyDescent="0.2">
      <c r="B433" s="10" t="s">
        <v>81</v>
      </c>
      <c r="E433" s="23" t="s">
        <v>17</v>
      </c>
      <c r="F433" s="24">
        <f>SUM(F431:F432)</f>
        <v>4500000</v>
      </c>
      <c r="G433" s="24">
        <f t="shared" ref="G433:H433" si="22">SUM(G431:G432)</f>
        <v>2200000</v>
      </c>
      <c r="H433" s="24">
        <f t="shared" si="22"/>
        <v>600000</v>
      </c>
    </row>
    <row r="434" spans="1:9" x14ac:dyDescent="0.2">
      <c r="E434" s="23"/>
      <c r="F434" s="11"/>
      <c r="G434" s="11"/>
      <c r="H434" s="11"/>
    </row>
    <row r="435" spans="1:9" s="12" customFormat="1" x14ac:dyDescent="0.2">
      <c r="A435" s="91" t="str">
        <f>B437</f>
        <v>WARD 36</v>
      </c>
      <c r="B435" s="91"/>
      <c r="C435" s="91"/>
      <c r="D435" s="99" t="str">
        <f>A435</f>
        <v>WARD 36</v>
      </c>
      <c r="E435" s="99"/>
      <c r="F435" s="99"/>
      <c r="G435" s="99"/>
      <c r="H435" s="99"/>
      <c r="I435" s="99"/>
    </row>
    <row r="436" spans="1:9" s="92" customFormat="1" ht="45" x14ac:dyDescent="0.2">
      <c r="D436" s="34" t="s">
        <v>8</v>
      </c>
      <c r="E436" s="35" t="s">
        <v>9</v>
      </c>
      <c r="F436" s="36" t="s">
        <v>719</v>
      </c>
      <c r="G436" s="36" t="s">
        <v>720</v>
      </c>
      <c r="H436" s="36" t="s">
        <v>721</v>
      </c>
      <c r="I436" s="35" t="s">
        <v>10</v>
      </c>
    </row>
    <row r="437" spans="1:9" x14ac:dyDescent="0.2">
      <c r="A437" s="10">
        <v>36</v>
      </c>
      <c r="B437" s="10" t="s">
        <v>82</v>
      </c>
      <c r="C437" s="10" t="s">
        <v>12</v>
      </c>
      <c r="D437" s="9">
        <v>20190294</v>
      </c>
      <c r="E437" s="10" t="s">
        <v>675</v>
      </c>
      <c r="F437" s="11"/>
      <c r="G437" s="11">
        <v>5250000</v>
      </c>
      <c r="H437" s="11">
        <v>3500000</v>
      </c>
    </row>
    <row r="438" spans="1:9" x14ac:dyDescent="0.2">
      <c r="D438" s="9">
        <v>20210341</v>
      </c>
      <c r="E438" s="10" t="s">
        <v>700</v>
      </c>
      <c r="F438" s="11">
        <v>13913050</v>
      </c>
      <c r="G438" s="11">
        <v>12539130</v>
      </c>
      <c r="H438" s="11">
        <v>22608700</v>
      </c>
    </row>
    <row r="439" spans="1:9" x14ac:dyDescent="0.2">
      <c r="D439" s="9">
        <v>20220169</v>
      </c>
      <c r="E439" s="10" t="s">
        <v>701</v>
      </c>
      <c r="F439" s="11"/>
      <c r="G439" s="11">
        <v>14000000</v>
      </c>
      <c r="H439" s="11">
        <v>15000000</v>
      </c>
    </row>
    <row r="440" spans="1:9" x14ac:dyDescent="0.2">
      <c r="D440" s="9">
        <v>20250356</v>
      </c>
      <c r="E440" s="10" t="s">
        <v>626</v>
      </c>
      <c r="F440" s="11"/>
      <c r="G440" s="11"/>
      <c r="H440" s="11">
        <v>1700000</v>
      </c>
    </row>
    <row r="441" spans="1:9" x14ac:dyDescent="0.2">
      <c r="D441" s="9">
        <v>20230276</v>
      </c>
      <c r="E441" s="10" t="s">
        <v>736</v>
      </c>
      <c r="F441" s="11">
        <v>4500000</v>
      </c>
      <c r="G441" s="11"/>
      <c r="H441" s="11"/>
    </row>
    <row r="442" spans="1:9" x14ac:dyDescent="0.2">
      <c r="C442" s="10" t="s">
        <v>13</v>
      </c>
      <c r="E442" s="19" t="str">
        <f>C442</f>
        <v>Capital Total</v>
      </c>
      <c r="F442" s="20">
        <f>SUM(F437:F441)</f>
        <v>18413050</v>
      </c>
      <c r="G442" s="20">
        <f>SUM(G437:G441)</f>
        <v>31789130</v>
      </c>
      <c r="H442" s="20">
        <f>SUM(H437:H441)</f>
        <v>42808700</v>
      </c>
    </row>
    <row r="443" spans="1:9" x14ac:dyDescent="0.2">
      <c r="E443" s="19" t="s">
        <v>850</v>
      </c>
      <c r="F443" s="93"/>
      <c r="G443" s="93"/>
      <c r="H443" s="93"/>
    </row>
    <row r="444" spans="1:9" x14ac:dyDescent="0.2">
      <c r="C444" s="10" t="s">
        <v>14</v>
      </c>
      <c r="E444" s="10" t="s">
        <v>15</v>
      </c>
      <c r="F444" s="21">
        <v>100000</v>
      </c>
      <c r="G444" s="21">
        <v>100000</v>
      </c>
      <c r="H444" s="21">
        <v>100000</v>
      </c>
    </row>
    <row r="445" spans="1:9" x14ac:dyDescent="0.2">
      <c r="B445" s="10" t="s">
        <v>83</v>
      </c>
      <c r="E445" s="23" t="s">
        <v>17</v>
      </c>
      <c r="F445" s="24">
        <f>SUM(F442:F444)</f>
        <v>18513050</v>
      </c>
      <c r="G445" s="24">
        <f t="shared" ref="G445:H445" si="23">SUM(G442:G444)</f>
        <v>31889130</v>
      </c>
      <c r="H445" s="24">
        <f t="shared" si="23"/>
        <v>42908700</v>
      </c>
    </row>
    <row r="446" spans="1:9" x14ac:dyDescent="0.2">
      <c r="E446" s="23"/>
      <c r="F446" s="11"/>
      <c r="G446" s="11"/>
      <c r="H446" s="11"/>
    </row>
    <row r="447" spans="1:9" s="12" customFormat="1" x14ac:dyDescent="0.2">
      <c r="A447" s="91" t="str">
        <f>B449</f>
        <v>WARD 37</v>
      </c>
      <c r="B447" s="91"/>
      <c r="C447" s="91"/>
      <c r="D447" s="99" t="str">
        <f>A447</f>
        <v>WARD 37</v>
      </c>
      <c r="E447" s="99"/>
      <c r="F447" s="99"/>
      <c r="G447" s="99"/>
      <c r="H447" s="99"/>
      <c r="I447" s="99"/>
    </row>
    <row r="448" spans="1:9" s="92" customFormat="1" ht="45" x14ac:dyDescent="0.2">
      <c r="D448" s="34" t="s">
        <v>8</v>
      </c>
      <c r="E448" s="35" t="s">
        <v>9</v>
      </c>
      <c r="F448" s="36" t="s">
        <v>719</v>
      </c>
      <c r="G448" s="36" t="s">
        <v>720</v>
      </c>
      <c r="H448" s="36" t="s">
        <v>721</v>
      </c>
      <c r="I448" s="35" t="s">
        <v>10</v>
      </c>
    </row>
    <row r="449" spans="1:9" x14ac:dyDescent="0.2">
      <c r="A449" s="10">
        <v>37</v>
      </c>
      <c r="B449" s="10" t="s">
        <v>84</v>
      </c>
      <c r="C449" s="10" t="s">
        <v>12</v>
      </c>
      <c r="D449" s="9">
        <v>20230105</v>
      </c>
      <c r="E449" s="10" t="s">
        <v>704</v>
      </c>
      <c r="F449" s="11">
        <v>6956530</v>
      </c>
      <c r="G449" s="11">
        <v>2434780</v>
      </c>
      <c r="H449" s="11">
        <v>13565220</v>
      </c>
    </row>
    <row r="450" spans="1:9" x14ac:dyDescent="0.2">
      <c r="D450" s="9">
        <v>20230106</v>
      </c>
      <c r="E450" s="10" t="s">
        <v>705</v>
      </c>
      <c r="F450" s="6">
        <v>2347830</v>
      </c>
      <c r="G450" s="11">
        <v>913040</v>
      </c>
      <c r="H450" s="11">
        <v>5086960</v>
      </c>
    </row>
    <row r="451" spans="1:9" x14ac:dyDescent="0.2">
      <c r="D451" s="9">
        <v>20230117</v>
      </c>
      <c r="E451" s="10" t="s">
        <v>706</v>
      </c>
      <c r="F451" s="6">
        <v>3478260</v>
      </c>
      <c r="G451" s="11">
        <v>913040</v>
      </c>
      <c r="H451" s="11">
        <v>5086960</v>
      </c>
    </row>
    <row r="452" spans="1:9" x14ac:dyDescent="0.2">
      <c r="D452" s="9">
        <v>20230119</v>
      </c>
      <c r="E452" s="10" t="s">
        <v>707</v>
      </c>
      <c r="F452" s="6">
        <v>5478270</v>
      </c>
      <c r="G452" s="11">
        <v>1826090</v>
      </c>
      <c r="H452" s="11">
        <v>10173910</v>
      </c>
    </row>
    <row r="453" spans="1:9" x14ac:dyDescent="0.2">
      <c r="D453" s="9">
        <v>20250235</v>
      </c>
      <c r="E453" s="10" t="s">
        <v>708</v>
      </c>
      <c r="F453" s="6">
        <v>17391300</v>
      </c>
      <c r="G453" s="11">
        <v>13043480</v>
      </c>
      <c r="H453" s="11">
        <v>14347830</v>
      </c>
    </row>
    <row r="454" spans="1:9" x14ac:dyDescent="0.2">
      <c r="D454" s="9">
        <v>20240312</v>
      </c>
      <c r="E454" s="10" t="s">
        <v>588</v>
      </c>
      <c r="F454" s="11">
        <v>2608700</v>
      </c>
      <c r="G454" s="11"/>
      <c r="H454" s="11"/>
    </row>
    <row r="455" spans="1:9" x14ac:dyDescent="0.2">
      <c r="D455" s="9">
        <v>20230276</v>
      </c>
      <c r="E455" s="10" t="s">
        <v>737</v>
      </c>
      <c r="F455" s="11">
        <v>1680000</v>
      </c>
      <c r="G455" s="11"/>
      <c r="H455" s="11"/>
    </row>
    <row r="456" spans="1:9" x14ac:dyDescent="0.2">
      <c r="C456" s="10" t="s">
        <v>13</v>
      </c>
      <c r="E456" s="19" t="str">
        <f>C456</f>
        <v>Capital Total</v>
      </c>
      <c r="F456" s="20">
        <f>SUM(F449:F455)</f>
        <v>39940890</v>
      </c>
      <c r="G456" s="20">
        <f>SUM(G449:G455)</f>
        <v>19130430</v>
      </c>
      <c r="H456" s="20">
        <f>SUM(H449:H455)</f>
        <v>48260880</v>
      </c>
    </row>
    <row r="457" spans="1:9" x14ac:dyDescent="0.2">
      <c r="C457" s="10" t="s">
        <v>14</v>
      </c>
      <c r="E457" s="10" t="s">
        <v>15</v>
      </c>
      <c r="F457" s="29">
        <v>100000</v>
      </c>
      <c r="G457" s="29">
        <v>100000</v>
      </c>
      <c r="H457" s="29">
        <v>100000</v>
      </c>
    </row>
    <row r="458" spans="1:9" x14ac:dyDescent="0.2">
      <c r="D458" s="9" t="s">
        <v>788</v>
      </c>
      <c r="E458" s="10" t="s">
        <v>787</v>
      </c>
      <c r="F458" s="84">
        <v>5000000</v>
      </c>
      <c r="G458" s="21"/>
      <c r="H458" s="21"/>
    </row>
    <row r="459" spans="1:9" x14ac:dyDescent="0.2">
      <c r="B459" s="10" t="s">
        <v>85</v>
      </c>
      <c r="E459" s="23" t="s">
        <v>17</v>
      </c>
      <c r="F459" s="24">
        <f>SUM(F456:F457)</f>
        <v>40040890</v>
      </c>
      <c r="G459" s="24">
        <f t="shared" ref="G459:H459" si="24">SUM(G456:G457)</f>
        <v>19230430</v>
      </c>
      <c r="H459" s="24">
        <f t="shared" si="24"/>
        <v>48360880</v>
      </c>
    </row>
    <row r="460" spans="1:9" x14ac:dyDescent="0.2">
      <c r="E460" s="23"/>
      <c r="F460" s="11"/>
      <c r="G460" s="11"/>
      <c r="H460" s="11"/>
    </row>
    <row r="461" spans="1:9" s="12" customFormat="1" x14ac:dyDescent="0.2">
      <c r="A461" s="91" t="str">
        <f>B463</f>
        <v>WARD 38</v>
      </c>
      <c r="B461" s="91"/>
      <c r="C461" s="91"/>
      <c r="D461" s="99" t="str">
        <f>A461</f>
        <v>WARD 38</v>
      </c>
      <c r="E461" s="99"/>
      <c r="F461" s="99"/>
      <c r="G461" s="99"/>
      <c r="H461" s="99"/>
      <c r="I461" s="99"/>
    </row>
    <row r="462" spans="1:9" s="92" customFormat="1" ht="45" x14ac:dyDescent="0.2">
      <c r="D462" s="34" t="s">
        <v>8</v>
      </c>
      <c r="E462" s="35" t="s">
        <v>9</v>
      </c>
      <c r="F462" s="36" t="s">
        <v>719</v>
      </c>
      <c r="G462" s="36" t="s">
        <v>720</v>
      </c>
      <c r="H462" s="36" t="s">
        <v>721</v>
      </c>
      <c r="I462" s="35" t="s">
        <v>10</v>
      </c>
    </row>
    <row r="463" spans="1:9" x14ac:dyDescent="0.2">
      <c r="A463" s="10">
        <v>38</v>
      </c>
      <c r="B463" s="10" t="s">
        <v>86</v>
      </c>
      <c r="C463" s="10" t="s">
        <v>12</v>
      </c>
      <c r="D463" s="9">
        <v>20190162</v>
      </c>
      <c r="E463" s="10" t="s">
        <v>709</v>
      </c>
      <c r="F463" s="11">
        <v>600000</v>
      </c>
      <c r="G463" s="11">
        <v>600000</v>
      </c>
      <c r="H463" s="11">
        <v>600000</v>
      </c>
    </row>
    <row r="464" spans="1:9" x14ac:dyDescent="0.2">
      <c r="D464" s="9">
        <v>20250284</v>
      </c>
      <c r="E464" s="10" t="s">
        <v>786</v>
      </c>
      <c r="F464" s="11">
        <v>1478260</v>
      </c>
      <c r="G464" s="11"/>
      <c r="H464" s="11"/>
    </row>
    <row r="465" spans="1:9" x14ac:dyDescent="0.2">
      <c r="D465" s="9">
        <v>20240145</v>
      </c>
      <c r="E465" s="10" t="s">
        <v>713</v>
      </c>
      <c r="F465" s="11"/>
      <c r="G465" s="11">
        <v>1600000</v>
      </c>
      <c r="H465" s="11"/>
    </row>
    <row r="466" spans="1:9" x14ac:dyDescent="0.2">
      <c r="D466" s="9">
        <v>20230276</v>
      </c>
      <c r="E466" s="10" t="s">
        <v>743</v>
      </c>
      <c r="F466" s="11">
        <v>2000000</v>
      </c>
      <c r="G466" s="11"/>
      <c r="H466" s="11"/>
    </row>
    <row r="467" spans="1:9" x14ac:dyDescent="0.2">
      <c r="F467" s="11"/>
      <c r="G467" s="11"/>
      <c r="H467" s="11"/>
    </row>
    <row r="468" spans="1:9" x14ac:dyDescent="0.2">
      <c r="C468" s="10" t="s">
        <v>13</v>
      </c>
      <c r="E468" s="19" t="str">
        <f>C468</f>
        <v>Capital Total</v>
      </c>
      <c r="F468" s="20">
        <f>SUM(F463:F467)</f>
        <v>4078260</v>
      </c>
      <c r="G468" s="20">
        <f>SUM(G463:G467)</f>
        <v>2200000</v>
      </c>
      <c r="H468" s="20">
        <f>SUM(H463:H467)</f>
        <v>600000</v>
      </c>
    </row>
    <row r="469" spans="1:9" x14ac:dyDescent="0.2">
      <c r="C469" s="10" t="s">
        <v>14</v>
      </c>
      <c r="E469" s="10" t="s">
        <v>15</v>
      </c>
      <c r="F469" s="21">
        <v>100000</v>
      </c>
      <c r="G469" s="21">
        <v>100000</v>
      </c>
      <c r="H469" s="21">
        <v>100000</v>
      </c>
    </row>
    <row r="470" spans="1:9" x14ac:dyDescent="0.2">
      <c r="B470" s="10" t="s">
        <v>87</v>
      </c>
      <c r="E470" s="23" t="s">
        <v>17</v>
      </c>
      <c r="F470" s="24">
        <f>SUM(F468:F469)</f>
        <v>4178260</v>
      </c>
      <c r="G470" s="24">
        <f t="shared" ref="G470:H470" si="25">SUM(G468:G469)</f>
        <v>2300000</v>
      </c>
      <c r="H470" s="24">
        <f t="shared" si="25"/>
        <v>700000</v>
      </c>
    </row>
    <row r="471" spans="1:9" x14ac:dyDescent="0.2">
      <c r="E471" s="23"/>
      <c r="F471" s="11"/>
      <c r="G471" s="11"/>
      <c r="H471" s="11"/>
    </row>
    <row r="472" spans="1:9" s="12" customFormat="1" ht="11.45" customHeight="1" x14ac:dyDescent="0.2">
      <c r="A472" s="91" t="str">
        <f>B474</f>
        <v>WARD 39</v>
      </c>
      <c r="B472" s="91"/>
      <c r="C472" s="91"/>
      <c r="D472" s="99" t="str">
        <f>A472</f>
        <v>WARD 39</v>
      </c>
      <c r="E472" s="99"/>
      <c r="F472" s="99"/>
      <c r="G472" s="99"/>
      <c r="H472" s="99"/>
      <c r="I472" s="99"/>
    </row>
    <row r="473" spans="1:9" s="92" customFormat="1" ht="45" x14ac:dyDescent="0.2">
      <c r="D473" s="34" t="s">
        <v>8</v>
      </c>
      <c r="E473" s="35" t="s">
        <v>9</v>
      </c>
      <c r="F473" s="36" t="s">
        <v>719</v>
      </c>
      <c r="G473" s="36" t="s">
        <v>720</v>
      </c>
      <c r="H473" s="36" t="s">
        <v>721</v>
      </c>
      <c r="I473" s="35" t="s">
        <v>10</v>
      </c>
    </row>
    <row r="474" spans="1:9" x14ac:dyDescent="0.2">
      <c r="A474" s="10">
        <v>39</v>
      </c>
      <c r="B474" s="10" t="s">
        <v>88</v>
      </c>
      <c r="C474" s="10" t="s">
        <v>12</v>
      </c>
      <c r="D474" s="9">
        <v>20240206</v>
      </c>
      <c r="E474" s="10" t="s">
        <v>710</v>
      </c>
      <c r="F474" s="11"/>
      <c r="G474" s="11">
        <v>500000</v>
      </c>
      <c r="H474" s="11">
        <v>500000</v>
      </c>
    </row>
    <row r="475" spans="1:9" ht="9.9499999999999993" customHeight="1" x14ac:dyDescent="0.2">
      <c r="D475" s="9">
        <v>20250194</v>
      </c>
      <c r="E475" s="10" t="s">
        <v>853</v>
      </c>
      <c r="F475" s="11">
        <v>800000</v>
      </c>
      <c r="G475" s="11"/>
      <c r="H475" s="11"/>
    </row>
    <row r="476" spans="1:9" x14ac:dyDescent="0.2">
      <c r="E476" s="10" t="s">
        <v>852</v>
      </c>
      <c r="F476" s="11"/>
      <c r="G476" s="11"/>
      <c r="H476" s="11"/>
    </row>
    <row r="477" spans="1:9" x14ac:dyDescent="0.2">
      <c r="D477" s="9">
        <v>20240173</v>
      </c>
      <c r="E477" s="10" t="s">
        <v>202</v>
      </c>
      <c r="F477" s="11">
        <v>250000</v>
      </c>
      <c r="G477" s="11">
        <v>375000</v>
      </c>
      <c r="H477" s="11">
        <v>500000</v>
      </c>
    </row>
    <row r="478" spans="1:9" x14ac:dyDescent="0.2">
      <c r="D478" s="9">
        <v>20200332</v>
      </c>
      <c r="E478" s="10" t="s">
        <v>891</v>
      </c>
      <c r="F478" s="11"/>
      <c r="G478" s="11">
        <v>5000000</v>
      </c>
      <c r="H478" s="11">
        <v>5000000</v>
      </c>
    </row>
    <row r="479" spans="1:9" x14ac:dyDescent="0.2">
      <c r="F479" s="11"/>
      <c r="G479" s="11"/>
      <c r="H479" s="11"/>
    </row>
    <row r="480" spans="1:9" x14ac:dyDescent="0.2">
      <c r="F480" s="11"/>
      <c r="G480" s="11"/>
      <c r="H480" s="11"/>
    </row>
    <row r="481" spans="1:9" x14ac:dyDescent="0.2">
      <c r="C481" s="10" t="s">
        <v>13</v>
      </c>
      <c r="E481" s="19" t="str">
        <f>C481</f>
        <v>Capital Total</v>
      </c>
      <c r="F481" s="20">
        <f>SUM(F474:F480)</f>
        <v>1050000</v>
      </c>
      <c r="G481" s="20">
        <f>SUM(G474:G480)</f>
        <v>5875000</v>
      </c>
      <c r="H481" s="20">
        <f>SUM(H474:H480)</f>
        <v>6000000</v>
      </c>
    </row>
    <row r="482" spans="1:9" x14ac:dyDescent="0.2">
      <c r="E482" s="10" t="s">
        <v>851</v>
      </c>
      <c r="F482" s="93"/>
      <c r="G482" s="93"/>
      <c r="H482" s="93"/>
    </row>
    <row r="483" spans="1:9" x14ac:dyDescent="0.2">
      <c r="C483" s="10" t="s">
        <v>14</v>
      </c>
      <c r="E483" s="10" t="s">
        <v>15</v>
      </c>
      <c r="F483" s="21">
        <v>100000</v>
      </c>
      <c r="G483" s="21">
        <v>100000</v>
      </c>
      <c r="H483" s="21">
        <v>100000</v>
      </c>
    </row>
    <row r="484" spans="1:9" x14ac:dyDescent="0.2">
      <c r="B484" s="10" t="s">
        <v>89</v>
      </c>
      <c r="E484" s="23" t="s">
        <v>17</v>
      </c>
      <c r="F484" s="24">
        <f>SUM(F481:F483)</f>
        <v>1150000</v>
      </c>
      <c r="G484" s="24">
        <f t="shared" ref="G484:H484" si="26">SUM(G481:G483)</f>
        <v>5975000</v>
      </c>
      <c r="H484" s="24">
        <f t="shared" si="26"/>
        <v>6100000</v>
      </c>
    </row>
    <row r="485" spans="1:9" x14ac:dyDescent="0.2">
      <c r="E485" s="23"/>
      <c r="F485" s="11"/>
      <c r="G485" s="11"/>
      <c r="H485" s="11"/>
    </row>
    <row r="486" spans="1:9" s="12" customFormat="1" x14ac:dyDescent="0.2">
      <c r="A486" s="91" t="str">
        <f>B488</f>
        <v>WARD 40</v>
      </c>
      <c r="B486" s="91"/>
      <c r="C486" s="91"/>
      <c r="D486" s="99" t="str">
        <f>A486</f>
        <v>WARD 40</v>
      </c>
      <c r="E486" s="99"/>
      <c r="F486" s="99"/>
      <c r="G486" s="99"/>
      <c r="H486" s="99"/>
      <c r="I486" s="99"/>
    </row>
    <row r="487" spans="1:9" s="92" customFormat="1" ht="45" x14ac:dyDescent="0.2">
      <c r="D487" s="34" t="s">
        <v>8</v>
      </c>
      <c r="E487" s="35" t="s">
        <v>9</v>
      </c>
      <c r="F487" s="36" t="s">
        <v>719</v>
      </c>
      <c r="G487" s="36" t="s">
        <v>720</v>
      </c>
      <c r="H487" s="36" t="s">
        <v>721</v>
      </c>
      <c r="I487" s="35" t="s">
        <v>10</v>
      </c>
    </row>
    <row r="488" spans="1:9" hidden="1" x14ac:dyDescent="0.2">
      <c r="A488" s="10">
        <v>40</v>
      </c>
      <c r="B488" s="10" t="s">
        <v>90</v>
      </c>
      <c r="C488" s="10" t="s">
        <v>12</v>
      </c>
      <c r="F488" s="11"/>
      <c r="G488" s="11"/>
      <c r="H488" s="11"/>
    </row>
    <row r="489" spans="1:9" x14ac:dyDescent="0.2">
      <c r="D489" s="9">
        <v>20190249</v>
      </c>
      <c r="E489" s="10" t="s">
        <v>272</v>
      </c>
      <c r="F489" s="11">
        <v>100000</v>
      </c>
      <c r="G489" s="11">
        <v>500000</v>
      </c>
      <c r="H489" s="11">
        <v>500000</v>
      </c>
    </row>
    <row r="490" spans="1:9" x14ac:dyDescent="0.2">
      <c r="D490" s="9">
        <v>20190253</v>
      </c>
      <c r="E490" s="10" t="s">
        <v>274</v>
      </c>
      <c r="F490" s="11">
        <v>250000</v>
      </c>
      <c r="G490" s="11">
        <v>500000</v>
      </c>
      <c r="H490" s="11">
        <v>500000</v>
      </c>
    </row>
    <row r="491" spans="1:9" x14ac:dyDescent="0.2">
      <c r="D491" s="9">
        <v>20230100</v>
      </c>
      <c r="E491" s="10" t="s">
        <v>683</v>
      </c>
      <c r="F491" s="11"/>
      <c r="G491" s="11"/>
      <c r="H491" s="11">
        <v>16000000</v>
      </c>
    </row>
    <row r="492" spans="1:9" x14ac:dyDescent="0.2">
      <c r="D492" s="9">
        <v>20230101</v>
      </c>
      <c r="E492" s="10" t="s">
        <v>684</v>
      </c>
      <c r="F492" s="11"/>
      <c r="G492" s="11"/>
      <c r="H492" s="11">
        <v>3700000</v>
      </c>
    </row>
    <row r="493" spans="1:9" x14ac:dyDescent="0.2">
      <c r="D493" s="9">
        <v>20230102</v>
      </c>
      <c r="E493" s="10" t="s">
        <v>685</v>
      </c>
      <c r="F493" s="11"/>
      <c r="G493" s="11"/>
      <c r="H493" s="11">
        <v>3500000</v>
      </c>
    </row>
    <row r="494" spans="1:9" x14ac:dyDescent="0.2">
      <c r="D494" s="9">
        <v>20230104</v>
      </c>
      <c r="E494" s="10" t="s">
        <v>686</v>
      </c>
      <c r="F494" s="11"/>
      <c r="G494" s="11"/>
      <c r="H494" s="11">
        <v>8000000</v>
      </c>
    </row>
    <row r="495" spans="1:9" x14ac:dyDescent="0.2">
      <c r="D495" s="9">
        <v>20230275</v>
      </c>
      <c r="E495" s="10" t="s">
        <v>687</v>
      </c>
      <c r="F495" s="11">
        <v>500000</v>
      </c>
      <c r="G495" s="11">
        <v>500000</v>
      </c>
      <c r="H495" s="11">
        <v>500000</v>
      </c>
    </row>
    <row r="496" spans="1:9" x14ac:dyDescent="0.2">
      <c r="A496" s="10">
        <v>41</v>
      </c>
      <c r="B496" s="10" t="s">
        <v>92</v>
      </c>
      <c r="C496" s="10" t="s">
        <v>12</v>
      </c>
      <c r="D496" s="9">
        <v>20170022</v>
      </c>
      <c r="E496" s="10" t="s">
        <v>892</v>
      </c>
      <c r="F496" s="11">
        <v>2800000</v>
      </c>
      <c r="G496" s="11"/>
      <c r="H496" s="11"/>
    </row>
    <row r="497" spans="1:9" x14ac:dyDescent="0.2">
      <c r="D497" s="9">
        <v>20230276</v>
      </c>
      <c r="E497" s="10" t="s">
        <v>724</v>
      </c>
      <c r="F497" s="11">
        <v>4500000</v>
      </c>
      <c r="G497" s="11"/>
      <c r="H497" s="11"/>
    </row>
    <row r="498" spans="1:9" x14ac:dyDescent="0.2">
      <c r="D498" s="9">
        <v>20240123</v>
      </c>
      <c r="E498" s="10" t="s">
        <v>814</v>
      </c>
      <c r="F498" s="11"/>
      <c r="G498" s="11">
        <v>2000000</v>
      </c>
      <c r="H498" s="11">
        <v>2500000</v>
      </c>
    </row>
    <row r="499" spans="1:9" x14ac:dyDescent="0.2">
      <c r="D499" s="9">
        <v>20240161</v>
      </c>
      <c r="E499" s="10" t="s">
        <v>563</v>
      </c>
      <c r="F499" s="11">
        <v>250000</v>
      </c>
      <c r="G499" s="11"/>
      <c r="H499" s="11"/>
    </row>
    <row r="500" spans="1:9" x14ac:dyDescent="0.2">
      <c r="D500" s="9">
        <v>20240164</v>
      </c>
      <c r="E500" s="10" t="s">
        <v>564</v>
      </c>
      <c r="F500" s="11">
        <v>150000</v>
      </c>
      <c r="G500" s="11"/>
      <c r="H500" s="11"/>
    </row>
    <row r="501" spans="1:9" x14ac:dyDescent="0.2">
      <c r="D501" s="9">
        <v>20240173</v>
      </c>
      <c r="E501" s="10" t="s">
        <v>202</v>
      </c>
      <c r="F501" s="11">
        <v>750000</v>
      </c>
      <c r="G501" s="11">
        <v>1125000</v>
      </c>
      <c r="H501" s="11">
        <v>1500000</v>
      </c>
    </row>
    <row r="502" spans="1:9" x14ac:dyDescent="0.2">
      <c r="D502" s="9">
        <v>20240177</v>
      </c>
      <c r="E502" s="10" t="s">
        <v>565</v>
      </c>
      <c r="F502" s="11">
        <v>1000000</v>
      </c>
      <c r="G502" s="11"/>
      <c r="H502" s="11"/>
    </row>
    <row r="503" spans="1:9" x14ac:dyDescent="0.2">
      <c r="D503" s="9">
        <v>20250186</v>
      </c>
      <c r="E503" s="10" t="s">
        <v>212</v>
      </c>
      <c r="F503" s="11">
        <v>1500000</v>
      </c>
      <c r="G503" s="11">
        <f>2000000-500000</f>
        <v>1500000</v>
      </c>
      <c r="H503" s="11">
        <f>2000000-500000</f>
        <v>1500000</v>
      </c>
    </row>
    <row r="504" spans="1:9" x14ac:dyDescent="0.2">
      <c r="D504" s="9">
        <v>20250191</v>
      </c>
      <c r="E504" s="10" t="s">
        <v>217</v>
      </c>
      <c r="F504" s="11">
        <v>500000</v>
      </c>
      <c r="G504" s="11">
        <v>500000</v>
      </c>
      <c r="H504" s="11">
        <v>500000</v>
      </c>
    </row>
    <row r="505" spans="1:9" x14ac:dyDescent="0.2">
      <c r="F505" s="11"/>
      <c r="G505" s="11"/>
      <c r="H505" s="11"/>
    </row>
    <row r="506" spans="1:9" x14ac:dyDescent="0.2">
      <c r="C506" s="10" t="s">
        <v>13</v>
      </c>
      <c r="E506" s="19" t="str">
        <f>C506</f>
        <v>Capital Total</v>
      </c>
      <c r="F506" s="20">
        <f>SUM(F488:F505)</f>
        <v>12300000</v>
      </c>
      <c r="G506" s="20">
        <f>SUM(G488:G505)</f>
        <v>6625000</v>
      </c>
      <c r="H506" s="20">
        <f>SUM(H488:H505)</f>
        <v>38700000</v>
      </c>
    </row>
    <row r="507" spans="1:9" x14ac:dyDescent="0.2">
      <c r="C507" s="10" t="s">
        <v>14</v>
      </c>
      <c r="E507" s="10" t="s">
        <v>15</v>
      </c>
      <c r="F507" s="21">
        <v>100000</v>
      </c>
      <c r="G507" s="21">
        <v>100000</v>
      </c>
      <c r="H507" s="21">
        <v>100000</v>
      </c>
    </row>
    <row r="508" spans="1:9" x14ac:dyDescent="0.2">
      <c r="B508" s="10" t="s">
        <v>91</v>
      </c>
      <c r="E508" s="23" t="s">
        <v>17</v>
      </c>
      <c r="F508" s="24">
        <f>SUM(F506:F507)</f>
        <v>12400000</v>
      </c>
      <c r="G508" s="24">
        <f t="shared" ref="G508:H508" si="27">SUM(G506:G507)</f>
        <v>6725000</v>
      </c>
      <c r="H508" s="24">
        <f t="shared" si="27"/>
        <v>38800000</v>
      </c>
    </row>
    <row r="509" spans="1:9" x14ac:dyDescent="0.2">
      <c r="E509" s="23"/>
      <c r="F509" s="11"/>
      <c r="G509" s="11"/>
      <c r="H509" s="11"/>
    </row>
    <row r="510" spans="1:9" s="12" customFormat="1" x14ac:dyDescent="0.2">
      <c r="A510" s="91" t="str">
        <f>B512</f>
        <v>WARD 40</v>
      </c>
      <c r="B510" s="91"/>
      <c r="C510" s="91"/>
      <c r="D510" s="99" t="s">
        <v>92</v>
      </c>
      <c r="E510" s="99"/>
      <c r="F510" s="99"/>
      <c r="G510" s="99"/>
      <c r="H510" s="99"/>
      <c r="I510" s="99"/>
    </row>
    <row r="511" spans="1:9" s="92" customFormat="1" ht="45" x14ac:dyDescent="0.2">
      <c r="D511" s="34" t="s">
        <v>8</v>
      </c>
      <c r="E511" s="35" t="s">
        <v>9</v>
      </c>
      <c r="F511" s="36" t="s">
        <v>719</v>
      </c>
      <c r="G511" s="36" t="s">
        <v>720</v>
      </c>
      <c r="H511" s="36" t="s">
        <v>721</v>
      </c>
      <c r="I511" s="35" t="s">
        <v>10</v>
      </c>
    </row>
    <row r="512" spans="1:9" x14ac:dyDescent="0.2">
      <c r="A512" s="10">
        <v>40</v>
      </c>
      <c r="B512" s="10" t="s">
        <v>90</v>
      </c>
      <c r="C512" s="10" t="s">
        <v>12</v>
      </c>
      <c r="D512" s="9">
        <v>20170022</v>
      </c>
      <c r="E512" s="10" t="s">
        <v>893</v>
      </c>
      <c r="F512" s="11">
        <v>6000000</v>
      </c>
      <c r="G512" s="11"/>
      <c r="H512" s="11"/>
    </row>
    <row r="513" spans="4:8" x14ac:dyDescent="0.2">
      <c r="D513" s="9">
        <v>20190294</v>
      </c>
      <c r="E513" s="10" t="s">
        <v>675</v>
      </c>
      <c r="F513" s="11">
        <v>22000000</v>
      </c>
      <c r="G513" s="11">
        <v>9750000</v>
      </c>
      <c r="H513" s="11">
        <v>6500000</v>
      </c>
    </row>
    <row r="514" spans="4:8" x14ac:dyDescent="0.2">
      <c r="D514" s="9">
        <v>20200051</v>
      </c>
      <c r="E514" s="10" t="s">
        <v>798</v>
      </c>
      <c r="F514" s="11">
        <v>2000000</v>
      </c>
      <c r="G514" s="11"/>
      <c r="H514" s="11"/>
    </row>
    <row r="515" spans="4:8" x14ac:dyDescent="0.2">
      <c r="D515" s="9">
        <v>20200051</v>
      </c>
      <c r="E515" s="10" t="s">
        <v>799</v>
      </c>
      <c r="F515" s="11">
        <v>2000000</v>
      </c>
      <c r="G515" s="11"/>
      <c r="H515" s="11"/>
    </row>
    <row r="516" spans="4:8" x14ac:dyDescent="0.2">
      <c r="D516" s="9">
        <v>20220068</v>
      </c>
      <c r="E516" s="10" t="s">
        <v>676</v>
      </c>
      <c r="F516" s="11">
        <v>7530800</v>
      </c>
      <c r="G516" s="11">
        <v>12000000</v>
      </c>
      <c r="H516" s="11">
        <v>15000000</v>
      </c>
    </row>
    <row r="517" spans="4:8" x14ac:dyDescent="0.2">
      <c r="D517" s="25">
        <v>20220069</v>
      </c>
      <c r="E517" s="26" t="s">
        <v>677</v>
      </c>
      <c r="F517" s="11">
        <v>2000000</v>
      </c>
      <c r="G517" s="11">
        <v>6000000</v>
      </c>
      <c r="H517" s="11">
        <v>8000000</v>
      </c>
    </row>
    <row r="518" spans="4:8" x14ac:dyDescent="0.2">
      <c r="D518" s="9">
        <v>20220070</v>
      </c>
      <c r="E518" s="10" t="s">
        <v>678</v>
      </c>
      <c r="F518" s="11">
        <v>2000000</v>
      </c>
      <c r="G518" s="11">
        <v>3000000</v>
      </c>
      <c r="H518" s="11">
        <v>7000000</v>
      </c>
    </row>
    <row r="519" spans="4:8" x14ac:dyDescent="0.2">
      <c r="D519" s="9">
        <v>20220071</v>
      </c>
      <c r="E519" s="10" t="s">
        <v>679</v>
      </c>
      <c r="F519" s="11">
        <v>5652630</v>
      </c>
      <c r="G519" s="11">
        <v>9000000</v>
      </c>
      <c r="H519" s="11">
        <v>10000000</v>
      </c>
    </row>
    <row r="520" spans="4:8" x14ac:dyDescent="0.2">
      <c r="D520" s="9">
        <v>20230012</v>
      </c>
      <c r="E520" s="10" t="s">
        <v>280</v>
      </c>
      <c r="F520" s="11">
        <v>1500000</v>
      </c>
      <c r="G520" s="11"/>
      <c r="H520" s="11"/>
    </row>
    <row r="521" spans="4:8" x14ac:dyDescent="0.2">
      <c r="D521" s="9">
        <v>20230276</v>
      </c>
      <c r="E521" s="10" t="s">
        <v>744</v>
      </c>
      <c r="F521" s="11">
        <v>6500000</v>
      </c>
      <c r="G521" s="11"/>
      <c r="H521" s="11"/>
    </row>
    <row r="522" spans="4:8" x14ac:dyDescent="0.2">
      <c r="D522" s="9">
        <v>20230307</v>
      </c>
      <c r="E522" s="10" t="s">
        <v>680</v>
      </c>
      <c r="F522" s="11">
        <v>17391300</v>
      </c>
      <c r="G522" s="11">
        <v>13043480</v>
      </c>
      <c r="H522" s="11">
        <v>12173910</v>
      </c>
    </row>
    <row r="523" spans="4:8" x14ac:dyDescent="0.2">
      <c r="D523" s="9">
        <v>20240152</v>
      </c>
      <c r="E523" s="10" t="s">
        <v>784</v>
      </c>
      <c r="F523" s="11"/>
      <c r="G523" s="11">
        <v>1700000</v>
      </c>
      <c r="H523" s="11"/>
    </row>
    <row r="524" spans="4:8" x14ac:dyDescent="0.2">
      <c r="D524" s="9">
        <v>20240219</v>
      </c>
      <c r="E524" s="10" t="s">
        <v>578</v>
      </c>
      <c r="F524" s="11"/>
      <c r="G524" s="11">
        <v>500000</v>
      </c>
      <c r="H524" s="11">
        <v>500000</v>
      </c>
    </row>
    <row r="525" spans="4:8" x14ac:dyDescent="0.2">
      <c r="D525" s="9">
        <v>20240222</v>
      </c>
      <c r="E525" s="10" t="s">
        <v>580</v>
      </c>
      <c r="F525" s="11"/>
      <c r="G525" s="11">
        <v>500000</v>
      </c>
      <c r="H525" s="11">
        <v>500000</v>
      </c>
    </row>
    <row r="526" spans="4:8" x14ac:dyDescent="0.2">
      <c r="D526" s="9">
        <v>20240224</v>
      </c>
      <c r="E526" s="10" t="s">
        <v>582</v>
      </c>
      <c r="F526" s="11"/>
      <c r="G526" s="11">
        <v>500000</v>
      </c>
      <c r="H526" s="11">
        <v>500000</v>
      </c>
    </row>
    <row r="527" spans="4:8" x14ac:dyDescent="0.2">
      <c r="D527" s="9">
        <v>20240230</v>
      </c>
      <c r="E527" s="10" t="s">
        <v>585</v>
      </c>
      <c r="F527" s="11"/>
      <c r="G527" s="11">
        <v>500000</v>
      </c>
      <c r="H527" s="11">
        <v>500000</v>
      </c>
    </row>
    <row r="528" spans="4:8" x14ac:dyDescent="0.2">
      <c r="D528" s="9">
        <v>20240308</v>
      </c>
      <c r="E528" s="10" t="s">
        <v>587</v>
      </c>
      <c r="F528" s="11">
        <v>3478260</v>
      </c>
      <c r="G528" s="11"/>
      <c r="H528" s="11"/>
    </row>
    <row r="529" spans="1:9" x14ac:dyDescent="0.2">
      <c r="D529" s="9">
        <v>20240309</v>
      </c>
      <c r="E529" s="10" t="s">
        <v>681</v>
      </c>
      <c r="F529" s="11">
        <v>17391300</v>
      </c>
      <c r="G529" s="11">
        <v>13043480</v>
      </c>
      <c r="H529" s="11">
        <v>12000000</v>
      </c>
    </row>
    <row r="530" spans="1:9" x14ac:dyDescent="0.2">
      <c r="D530" s="9">
        <v>20250237</v>
      </c>
      <c r="E530" s="10" t="s">
        <v>682</v>
      </c>
      <c r="F530" s="11">
        <v>17391300</v>
      </c>
      <c r="G530" s="11">
        <v>13043480</v>
      </c>
      <c r="H530" s="11">
        <v>12173910</v>
      </c>
    </row>
    <row r="531" spans="1:9" x14ac:dyDescent="0.2">
      <c r="D531" s="9">
        <v>20250267</v>
      </c>
      <c r="E531" s="10" t="s">
        <v>605</v>
      </c>
      <c r="F531" s="11"/>
      <c r="G531" s="11">
        <v>2173910</v>
      </c>
      <c r="H531" s="11"/>
    </row>
    <row r="532" spans="1:9" x14ac:dyDescent="0.2">
      <c r="D532" s="9">
        <v>20250299</v>
      </c>
      <c r="E532" s="10" t="s">
        <v>616</v>
      </c>
      <c r="F532" s="11"/>
      <c r="G532" s="11">
        <v>434780</v>
      </c>
      <c r="H532" s="11"/>
    </row>
    <row r="533" spans="1:9" x14ac:dyDescent="0.2">
      <c r="F533" s="11"/>
      <c r="G533" s="11"/>
      <c r="H533" s="11"/>
    </row>
    <row r="534" spans="1:9" x14ac:dyDescent="0.2">
      <c r="C534" s="10" t="s">
        <v>13</v>
      </c>
      <c r="E534" s="19" t="str">
        <f>C534</f>
        <v>Capital Total</v>
      </c>
      <c r="F534" s="20">
        <f>SUM(F512:F533)</f>
        <v>112835590</v>
      </c>
      <c r="G534" s="20">
        <f>SUM(G512:G533)</f>
        <v>85189130</v>
      </c>
      <c r="H534" s="20">
        <f>SUM(H512:H533)</f>
        <v>84847820</v>
      </c>
    </row>
    <row r="535" spans="1:9" x14ac:dyDescent="0.2">
      <c r="E535" s="10" t="s">
        <v>828</v>
      </c>
      <c r="F535" s="29">
        <v>10977075</v>
      </c>
      <c r="G535" s="93"/>
      <c r="H535" s="93"/>
    </row>
    <row r="536" spans="1:9" x14ac:dyDescent="0.2">
      <c r="C536" s="10" t="s">
        <v>14</v>
      </c>
      <c r="E536" s="10" t="s">
        <v>15</v>
      </c>
      <c r="F536" s="21">
        <v>100000</v>
      </c>
      <c r="G536" s="21">
        <v>100000</v>
      </c>
      <c r="H536" s="21">
        <v>100000</v>
      </c>
    </row>
    <row r="537" spans="1:9" x14ac:dyDescent="0.2">
      <c r="B537" s="10" t="s">
        <v>93</v>
      </c>
      <c r="E537" s="23" t="s">
        <v>17</v>
      </c>
      <c r="F537" s="24">
        <f>SUM(F534:F536)</f>
        <v>123912665</v>
      </c>
      <c r="G537" s="24">
        <f t="shared" ref="G537:H537" si="28">SUM(G534:G536)</f>
        <v>85289130</v>
      </c>
      <c r="H537" s="24">
        <f t="shared" si="28"/>
        <v>84947820</v>
      </c>
    </row>
    <row r="538" spans="1:9" x14ac:dyDescent="0.2">
      <c r="E538" s="23"/>
      <c r="F538" s="11"/>
      <c r="G538" s="11"/>
      <c r="H538" s="11"/>
    </row>
    <row r="539" spans="1:9" s="12" customFormat="1" x14ac:dyDescent="0.2">
      <c r="A539" s="91" t="e">
        <f>#REF!</f>
        <v>#REF!</v>
      </c>
      <c r="B539" s="91"/>
      <c r="C539" s="91"/>
      <c r="D539" s="99" t="s">
        <v>94</v>
      </c>
      <c r="E539" s="99"/>
      <c r="F539" s="99"/>
      <c r="G539" s="99"/>
      <c r="H539" s="99"/>
      <c r="I539" s="99"/>
    </row>
    <row r="540" spans="1:9" s="92" customFormat="1" ht="45" x14ac:dyDescent="0.2">
      <c r="D540" s="34" t="s">
        <v>8</v>
      </c>
      <c r="E540" s="35" t="s">
        <v>9</v>
      </c>
      <c r="F540" s="36" t="s">
        <v>719</v>
      </c>
      <c r="G540" s="36" t="s">
        <v>720</v>
      </c>
      <c r="H540" s="36" t="s">
        <v>721</v>
      </c>
      <c r="I540" s="35" t="s">
        <v>10</v>
      </c>
    </row>
    <row r="541" spans="1:9" x14ac:dyDescent="0.2">
      <c r="D541" s="9">
        <v>20170022</v>
      </c>
      <c r="E541" s="10" t="s">
        <v>800</v>
      </c>
      <c r="F541" s="11">
        <v>3000000</v>
      </c>
      <c r="G541" s="11"/>
      <c r="H541" s="11"/>
    </row>
    <row r="542" spans="1:9" x14ac:dyDescent="0.2">
      <c r="A542" s="10">
        <v>41</v>
      </c>
      <c r="B542" s="10" t="s">
        <v>92</v>
      </c>
      <c r="C542" s="10" t="s">
        <v>12</v>
      </c>
      <c r="D542" s="9">
        <v>20230276</v>
      </c>
      <c r="E542" s="10" t="s">
        <v>745</v>
      </c>
      <c r="F542" s="11">
        <v>2400000</v>
      </c>
      <c r="G542" s="11"/>
      <c r="H542" s="11"/>
    </row>
    <row r="543" spans="1:9" x14ac:dyDescent="0.2">
      <c r="D543" s="9">
        <v>20230295</v>
      </c>
      <c r="E543" s="10" t="s">
        <v>559</v>
      </c>
      <c r="F543" s="11">
        <v>3478260</v>
      </c>
      <c r="G543" s="11"/>
      <c r="H543" s="11"/>
    </row>
    <row r="544" spans="1:9" x14ac:dyDescent="0.2">
      <c r="D544" s="9">
        <v>20240215</v>
      </c>
      <c r="E544" s="10" t="s">
        <v>674</v>
      </c>
      <c r="F544" s="11"/>
      <c r="G544" s="11">
        <v>500000</v>
      </c>
      <c r="H544" s="11">
        <v>500000</v>
      </c>
    </row>
    <row r="545" spans="1:9" x14ac:dyDescent="0.2">
      <c r="C545" s="10" t="s">
        <v>13</v>
      </c>
      <c r="E545" s="19" t="str">
        <f>C545</f>
        <v>Capital Total</v>
      </c>
      <c r="F545" s="20">
        <f>SUM(F541:F544)</f>
        <v>8878260</v>
      </c>
      <c r="G545" s="20">
        <f t="shared" ref="G545:H545" si="29">SUM(G541:G544)</f>
        <v>500000</v>
      </c>
      <c r="H545" s="20">
        <f t="shared" si="29"/>
        <v>500000</v>
      </c>
    </row>
    <row r="546" spans="1:9" x14ac:dyDescent="0.2">
      <c r="C546" s="10" t="s">
        <v>14</v>
      </c>
      <c r="E546" s="10" t="s">
        <v>15</v>
      </c>
      <c r="F546" s="21">
        <v>100000</v>
      </c>
      <c r="G546" s="21">
        <v>100000</v>
      </c>
      <c r="H546" s="21">
        <v>100000</v>
      </c>
    </row>
    <row r="547" spans="1:9" x14ac:dyDescent="0.2">
      <c r="B547" s="10" t="s">
        <v>95</v>
      </c>
      <c r="E547" s="23" t="s">
        <v>17</v>
      </c>
      <c r="F547" s="24">
        <f>SUM(F545:F546)</f>
        <v>8978260</v>
      </c>
      <c r="G547" s="24">
        <f>SUM(G545:G546)</f>
        <v>600000</v>
      </c>
      <c r="H547" s="24">
        <f>SUM(H545:H546)</f>
        <v>600000</v>
      </c>
    </row>
    <row r="548" spans="1:9" x14ac:dyDescent="0.2">
      <c r="E548" s="23"/>
      <c r="F548" s="11"/>
      <c r="G548" s="11"/>
      <c r="H548" s="11"/>
    </row>
    <row r="549" spans="1:9" s="12" customFormat="1" x14ac:dyDescent="0.2">
      <c r="A549" s="91" t="str">
        <f>B551</f>
        <v>WARD 43</v>
      </c>
      <c r="B549" s="91"/>
      <c r="C549" s="91"/>
      <c r="D549" s="99" t="str">
        <f>A549</f>
        <v>WARD 43</v>
      </c>
      <c r="E549" s="99"/>
      <c r="F549" s="99"/>
      <c r="G549" s="99"/>
      <c r="H549" s="99"/>
      <c r="I549" s="99"/>
    </row>
    <row r="550" spans="1:9" s="92" customFormat="1" ht="45" x14ac:dyDescent="0.2">
      <c r="D550" s="34" t="s">
        <v>8</v>
      </c>
      <c r="E550" s="35" t="s">
        <v>9</v>
      </c>
      <c r="F550" s="36" t="s">
        <v>719</v>
      </c>
      <c r="G550" s="36" t="s">
        <v>720</v>
      </c>
      <c r="H550" s="36" t="s">
        <v>721</v>
      </c>
      <c r="I550" s="35" t="s">
        <v>10</v>
      </c>
    </row>
    <row r="551" spans="1:9" x14ac:dyDescent="0.2">
      <c r="A551" s="10">
        <v>43</v>
      </c>
      <c r="B551" s="10" t="s">
        <v>96</v>
      </c>
      <c r="C551" s="10" t="s">
        <v>12</v>
      </c>
      <c r="D551" s="9">
        <v>20230277</v>
      </c>
      <c r="E551" s="10" t="s">
        <v>762</v>
      </c>
      <c r="F551" s="11">
        <v>300000</v>
      </c>
      <c r="G551" s="11"/>
      <c r="H551" s="11"/>
    </row>
    <row r="552" spans="1:9" x14ac:dyDescent="0.2">
      <c r="D552" s="9">
        <v>20230276</v>
      </c>
      <c r="E552" s="10" t="s">
        <v>856</v>
      </c>
      <c r="F552" s="11">
        <v>1000000</v>
      </c>
      <c r="G552" s="11"/>
      <c r="H552" s="11"/>
    </row>
    <row r="553" spans="1:9" x14ac:dyDescent="0.2">
      <c r="D553" s="9">
        <v>20230277</v>
      </c>
      <c r="E553" s="10" t="s">
        <v>558</v>
      </c>
      <c r="F553" s="11">
        <v>500000</v>
      </c>
      <c r="G553" s="11"/>
      <c r="H553" s="11"/>
    </row>
    <row r="554" spans="1:9" x14ac:dyDescent="0.2">
      <c r="D554" s="9">
        <v>20250355</v>
      </c>
      <c r="E554" s="10" t="s">
        <v>625</v>
      </c>
      <c r="F554" s="11"/>
      <c r="G554" s="11"/>
      <c r="H554" s="11">
        <v>1200000</v>
      </c>
    </row>
    <row r="555" spans="1:9" x14ac:dyDescent="0.2">
      <c r="D555" s="9">
        <v>20250079</v>
      </c>
      <c r="E555" s="10" t="s">
        <v>855</v>
      </c>
      <c r="F555" s="11">
        <v>1500000</v>
      </c>
      <c r="G555" s="11"/>
      <c r="H555" s="11"/>
    </row>
    <row r="556" spans="1:9" x14ac:dyDescent="0.2">
      <c r="C556" s="10" t="s">
        <v>13</v>
      </c>
      <c r="E556" s="19" t="str">
        <f>C556</f>
        <v>Capital Total</v>
      </c>
      <c r="F556" s="20">
        <f>SUM(F551:F555)</f>
        <v>3300000</v>
      </c>
      <c r="G556" s="20">
        <f>SUM(G551:G555)</f>
        <v>0</v>
      </c>
      <c r="H556" s="20">
        <f>SUM(H551:H555)</f>
        <v>1200000</v>
      </c>
    </row>
    <row r="557" spans="1:9" x14ac:dyDescent="0.2">
      <c r="C557" s="10" t="s">
        <v>14</v>
      </c>
      <c r="E557" s="10" t="s">
        <v>15</v>
      </c>
      <c r="F557" s="21">
        <v>100000</v>
      </c>
      <c r="G557" s="21">
        <v>100000</v>
      </c>
      <c r="H557" s="21">
        <v>100000</v>
      </c>
    </row>
    <row r="558" spans="1:9" x14ac:dyDescent="0.2">
      <c r="B558" s="10" t="s">
        <v>97</v>
      </c>
      <c r="E558" s="23" t="s">
        <v>17</v>
      </c>
      <c r="F558" s="24">
        <f>SUM(F556:F557)</f>
        <v>3400000</v>
      </c>
      <c r="G558" s="24">
        <f>SUM(G556:G557)</f>
        <v>100000</v>
      </c>
      <c r="H558" s="24">
        <f>SUM(H556:H557)</f>
        <v>1300000</v>
      </c>
    </row>
    <row r="559" spans="1:9" s="12" customFormat="1" x14ac:dyDescent="0.2">
      <c r="A559" s="91" t="str">
        <f>B561</f>
        <v>WARD 44</v>
      </c>
      <c r="B559" s="91"/>
      <c r="C559" s="91"/>
      <c r="D559" s="99" t="str">
        <f>A559</f>
        <v>WARD 44</v>
      </c>
      <c r="E559" s="99"/>
      <c r="F559" s="99"/>
      <c r="G559" s="99"/>
      <c r="H559" s="99"/>
      <c r="I559" s="99"/>
    </row>
    <row r="560" spans="1:9" s="92" customFormat="1" ht="45" x14ac:dyDescent="0.2">
      <c r="D560" s="34" t="s">
        <v>8</v>
      </c>
      <c r="E560" s="35" t="s">
        <v>9</v>
      </c>
      <c r="F560" s="36" t="s">
        <v>719</v>
      </c>
      <c r="G560" s="36" t="s">
        <v>720</v>
      </c>
      <c r="H560" s="36" t="s">
        <v>721</v>
      </c>
      <c r="I560" s="35" t="s">
        <v>10</v>
      </c>
    </row>
    <row r="561" spans="1:9" x14ac:dyDescent="0.2">
      <c r="A561" s="10">
        <v>44</v>
      </c>
      <c r="B561" s="10" t="s">
        <v>98</v>
      </c>
      <c r="C561" s="10" t="s">
        <v>12</v>
      </c>
      <c r="D561" s="9">
        <v>20200225</v>
      </c>
      <c r="E561" s="10" t="s">
        <v>672</v>
      </c>
      <c r="F561" s="11">
        <v>7600000</v>
      </c>
      <c r="G561" s="11"/>
      <c r="H561" s="11"/>
      <c r="I561" s="10">
        <v>7600000</v>
      </c>
    </row>
    <row r="562" spans="1:9" x14ac:dyDescent="0.2">
      <c r="D562" s="9">
        <v>20250231</v>
      </c>
      <c r="E562" s="10" t="s">
        <v>858</v>
      </c>
      <c r="F562" s="11">
        <v>364000</v>
      </c>
      <c r="G562" s="11">
        <v>750000</v>
      </c>
      <c r="H562" s="11"/>
    </row>
    <row r="563" spans="1:9" x14ac:dyDescent="0.2">
      <c r="D563" s="9">
        <v>20240322</v>
      </c>
      <c r="E563" s="10" t="s">
        <v>589</v>
      </c>
      <c r="F563" s="11">
        <v>3534780</v>
      </c>
      <c r="G563" s="11">
        <v>3062050</v>
      </c>
      <c r="H563" s="11">
        <v>5098000</v>
      </c>
    </row>
    <row r="564" spans="1:9" x14ac:dyDescent="0.2">
      <c r="D564" s="9">
        <v>20230277</v>
      </c>
      <c r="E564" s="10" t="s">
        <v>763</v>
      </c>
      <c r="F564" s="11">
        <v>300000</v>
      </c>
      <c r="G564" s="11"/>
      <c r="H564" s="11"/>
    </row>
    <row r="565" spans="1:9" x14ac:dyDescent="0.2">
      <c r="D565" s="9">
        <v>20250079</v>
      </c>
      <c r="E565" s="10" t="s">
        <v>855</v>
      </c>
      <c r="F565" s="11">
        <v>1500000</v>
      </c>
      <c r="G565" s="11"/>
      <c r="H565" s="11"/>
    </row>
    <row r="566" spans="1:9" x14ac:dyDescent="0.2">
      <c r="C566" s="10" t="s">
        <v>13</v>
      </c>
      <c r="E566" s="19" t="str">
        <f>C566</f>
        <v>Capital Total</v>
      </c>
      <c r="F566" s="20">
        <f>SUM(F561:F565)</f>
        <v>13298780</v>
      </c>
      <c r="G566" s="20">
        <f>SUM(G561:G565)</f>
        <v>3812050</v>
      </c>
      <c r="H566" s="20">
        <f>SUM(H561:H565)</f>
        <v>5098000</v>
      </c>
    </row>
    <row r="567" spans="1:9" x14ac:dyDescent="0.2">
      <c r="C567" s="10" t="s">
        <v>14</v>
      </c>
      <c r="E567" s="10" t="s">
        <v>15</v>
      </c>
      <c r="F567" s="21">
        <v>100000</v>
      </c>
      <c r="G567" s="21">
        <v>100000</v>
      </c>
      <c r="H567" s="21">
        <v>100000</v>
      </c>
    </row>
    <row r="568" spans="1:9" s="19" customFormat="1" x14ac:dyDescent="0.2">
      <c r="B568" s="19" t="s">
        <v>99</v>
      </c>
      <c r="D568" s="18"/>
      <c r="E568" s="23" t="s">
        <v>17</v>
      </c>
      <c r="F568" s="24">
        <f>SUM(F566:F567)</f>
        <v>13398780</v>
      </c>
      <c r="G568" s="24">
        <f>SUM(G566:G567)</f>
        <v>3912050</v>
      </c>
      <c r="H568" s="24">
        <f>SUM(H566:H567)</f>
        <v>5198000</v>
      </c>
    </row>
    <row r="570" spans="1:9" s="12" customFormat="1" x14ac:dyDescent="0.2">
      <c r="A570" s="91" t="str">
        <f>B572</f>
        <v>WARD 45</v>
      </c>
      <c r="B570" s="91"/>
      <c r="C570" s="91"/>
      <c r="D570" s="99" t="str">
        <f>A570</f>
        <v>WARD 45</v>
      </c>
      <c r="E570" s="99"/>
      <c r="F570" s="99"/>
      <c r="G570" s="99"/>
      <c r="H570" s="99"/>
      <c r="I570" s="99"/>
    </row>
    <row r="571" spans="1:9" s="92" customFormat="1" ht="45" x14ac:dyDescent="0.2">
      <c r="D571" s="34" t="s">
        <v>8</v>
      </c>
      <c r="E571" s="35" t="s">
        <v>9</v>
      </c>
      <c r="F571" s="36" t="s">
        <v>719</v>
      </c>
      <c r="G571" s="36" t="s">
        <v>720</v>
      </c>
      <c r="H571" s="36" t="s">
        <v>721</v>
      </c>
      <c r="I571" s="35" t="s">
        <v>10</v>
      </c>
    </row>
    <row r="572" spans="1:9" x14ac:dyDescent="0.2">
      <c r="A572" s="10">
        <v>45</v>
      </c>
      <c r="B572" s="10" t="s">
        <v>100</v>
      </c>
      <c r="C572" s="10" t="s">
        <v>12</v>
      </c>
      <c r="D572" s="9">
        <v>20200120</v>
      </c>
      <c r="E572" s="10" t="s">
        <v>668</v>
      </c>
      <c r="F572" s="4">
        <v>2000000</v>
      </c>
      <c r="G572" s="11">
        <v>2000000</v>
      </c>
      <c r="H572" s="11">
        <v>1600000</v>
      </c>
    </row>
    <row r="573" spans="1:9" x14ac:dyDescent="0.2">
      <c r="D573" s="9">
        <v>20200337</v>
      </c>
      <c r="E573" s="10" t="s">
        <v>669</v>
      </c>
      <c r="F573" s="4">
        <v>3804350</v>
      </c>
      <c r="G573" s="11">
        <v>14782610</v>
      </c>
      <c r="H573" s="11">
        <v>21739130</v>
      </c>
    </row>
    <row r="574" spans="1:9" x14ac:dyDescent="0.2">
      <c r="D574" s="9">
        <v>20200188</v>
      </c>
      <c r="E574" s="10" t="s">
        <v>839</v>
      </c>
      <c r="F574" s="11">
        <f>2925000+3825000</f>
        <v>6750000</v>
      </c>
      <c r="G574" s="11"/>
      <c r="H574" s="11"/>
    </row>
    <row r="575" spans="1:9" x14ac:dyDescent="0.2">
      <c r="D575" s="9">
        <v>20240211</v>
      </c>
      <c r="E575" s="10" t="s">
        <v>670</v>
      </c>
      <c r="F575" s="4"/>
      <c r="G575" s="11">
        <v>500000</v>
      </c>
      <c r="H575" s="11">
        <v>500000</v>
      </c>
    </row>
    <row r="576" spans="1:9" x14ac:dyDescent="0.2">
      <c r="D576" s="9">
        <v>20240217</v>
      </c>
      <c r="E576" s="10" t="s">
        <v>671</v>
      </c>
      <c r="F576" s="4"/>
      <c r="G576" s="11">
        <v>500000</v>
      </c>
      <c r="H576" s="11">
        <v>500000</v>
      </c>
    </row>
    <row r="577" spans="1:9" x14ac:dyDescent="0.2">
      <c r="D577" s="9">
        <v>20230276</v>
      </c>
      <c r="E577" s="10" t="s">
        <v>746</v>
      </c>
      <c r="F577" s="11">
        <v>6500000</v>
      </c>
      <c r="G577" s="11"/>
      <c r="H577" s="11"/>
    </row>
    <row r="578" spans="1:9" x14ac:dyDescent="0.2">
      <c r="F578" s="11"/>
      <c r="G578" s="11"/>
      <c r="H578" s="11"/>
    </row>
    <row r="579" spans="1:9" x14ac:dyDescent="0.2">
      <c r="C579" s="10" t="s">
        <v>13</v>
      </c>
      <c r="E579" s="19" t="str">
        <f>C579</f>
        <v>Capital Total</v>
      </c>
      <c r="F579" s="20">
        <f>SUM(F572:F578)</f>
        <v>19054350</v>
      </c>
      <c r="G579" s="20">
        <f>SUM(G572:G578)</f>
        <v>17782610</v>
      </c>
      <c r="H579" s="20">
        <f>SUM(H572:H578)</f>
        <v>24339130</v>
      </c>
    </row>
    <row r="580" spans="1:9" x14ac:dyDescent="0.2">
      <c r="E580" s="10" t="s">
        <v>827</v>
      </c>
      <c r="F580" s="29">
        <v>7545510</v>
      </c>
      <c r="G580" s="93"/>
      <c r="H580" s="93"/>
    </row>
    <row r="581" spans="1:9" x14ac:dyDescent="0.2">
      <c r="C581" s="10" t="s">
        <v>14</v>
      </c>
      <c r="E581" s="10" t="s">
        <v>15</v>
      </c>
      <c r="F581" s="21">
        <v>100000</v>
      </c>
      <c r="G581" s="21">
        <v>100000</v>
      </c>
      <c r="H581" s="21">
        <v>100000</v>
      </c>
    </row>
    <row r="582" spans="1:9" x14ac:dyDescent="0.2">
      <c r="B582" s="10" t="s">
        <v>101</v>
      </c>
      <c r="E582" s="23" t="s">
        <v>17</v>
      </c>
      <c r="F582" s="24">
        <f>SUM(F579:F581)</f>
        <v>26699860</v>
      </c>
      <c r="G582" s="24">
        <f>SUM(G579:G581)</f>
        <v>17882610</v>
      </c>
      <c r="H582" s="24">
        <f>SUM(H579:H581)</f>
        <v>24439130</v>
      </c>
    </row>
    <row r="583" spans="1:9" x14ac:dyDescent="0.2">
      <c r="E583" s="23"/>
      <c r="F583" s="11"/>
      <c r="G583" s="11"/>
      <c r="H583" s="11"/>
    </row>
    <row r="584" spans="1:9" s="12" customFormat="1" x14ac:dyDescent="0.2">
      <c r="A584" s="91" t="str">
        <f>B586</f>
        <v>WARD 46</v>
      </c>
      <c r="B584" s="91"/>
      <c r="C584" s="91"/>
      <c r="D584" s="99" t="str">
        <f>A584</f>
        <v>WARD 46</v>
      </c>
      <c r="E584" s="99"/>
      <c r="F584" s="99"/>
      <c r="G584" s="99"/>
      <c r="H584" s="99"/>
      <c r="I584" s="99"/>
    </row>
    <row r="585" spans="1:9" s="92" customFormat="1" ht="45" x14ac:dyDescent="0.2">
      <c r="D585" s="34" t="s">
        <v>8</v>
      </c>
      <c r="E585" s="35" t="s">
        <v>9</v>
      </c>
      <c r="F585" s="36" t="s">
        <v>719</v>
      </c>
      <c r="G585" s="36" t="s">
        <v>720</v>
      </c>
      <c r="H585" s="36" t="s">
        <v>721</v>
      </c>
      <c r="I585" s="35" t="s">
        <v>10</v>
      </c>
    </row>
    <row r="586" spans="1:9" x14ac:dyDescent="0.2">
      <c r="A586" s="10">
        <v>46</v>
      </c>
      <c r="B586" s="10" t="s">
        <v>102</v>
      </c>
      <c r="C586" s="10" t="s">
        <v>12</v>
      </c>
      <c r="D586" s="9">
        <v>20200051</v>
      </c>
      <c r="E586" s="10" t="s">
        <v>801</v>
      </c>
      <c r="F586" s="11">
        <v>2000000</v>
      </c>
      <c r="G586" s="11"/>
      <c r="H586" s="11"/>
    </row>
    <row r="587" spans="1:9" x14ac:dyDescent="0.2">
      <c r="D587" s="9">
        <v>20230276</v>
      </c>
      <c r="E587" s="10" t="s">
        <v>770</v>
      </c>
      <c r="F587" s="11">
        <v>1750000</v>
      </c>
      <c r="G587" s="11"/>
      <c r="H587" s="11"/>
    </row>
    <row r="588" spans="1:9" x14ac:dyDescent="0.2">
      <c r="D588" s="9">
        <v>20250255</v>
      </c>
      <c r="E588" s="10" t="s">
        <v>601</v>
      </c>
      <c r="F588" s="11">
        <v>3478260</v>
      </c>
      <c r="G588" s="11">
        <v>1739130</v>
      </c>
      <c r="H588" s="11"/>
    </row>
    <row r="589" spans="1:9" x14ac:dyDescent="0.2">
      <c r="D589" s="9">
        <v>20240147</v>
      </c>
      <c r="E589" s="10" t="s">
        <v>515</v>
      </c>
      <c r="F589" s="11"/>
      <c r="G589" s="11">
        <v>2000000</v>
      </c>
      <c r="H589" s="11">
        <v>2000000</v>
      </c>
    </row>
    <row r="590" spans="1:9" x14ac:dyDescent="0.2">
      <c r="D590" s="9">
        <v>20250079</v>
      </c>
      <c r="E590" s="10" t="s">
        <v>855</v>
      </c>
      <c r="F590" s="11">
        <v>1500000</v>
      </c>
      <c r="G590" s="11"/>
      <c r="H590" s="11"/>
    </row>
    <row r="591" spans="1:9" x14ac:dyDescent="0.2">
      <c r="D591" s="9">
        <v>20240160</v>
      </c>
      <c r="E591" s="10" t="s">
        <v>516</v>
      </c>
      <c r="F591" s="11"/>
      <c r="G591" s="11">
        <v>2000000</v>
      </c>
      <c r="H591" s="11">
        <v>2000000</v>
      </c>
    </row>
    <row r="592" spans="1:9" x14ac:dyDescent="0.2">
      <c r="D592" s="9">
        <v>20240207</v>
      </c>
      <c r="E592" s="10" t="s">
        <v>666</v>
      </c>
      <c r="F592" s="11"/>
      <c r="G592" s="11">
        <v>500000</v>
      </c>
      <c r="H592" s="11">
        <v>500000</v>
      </c>
    </row>
    <row r="593" spans="1:9" x14ac:dyDescent="0.2">
      <c r="D593" s="9">
        <v>20250230</v>
      </c>
      <c r="E593" s="10" t="s">
        <v>595</v>
      </c>
      <c r="F593" s="11">
        <v>1500000</v>
      </c>
      <c r="G593" s="11">
        <v>10000000</v>
      </c>
      <c r="H593" s="11">
        <v>15000000</v>
      </c>
    </row>
    <row r="594" spans="1:9" x14ac:dyDescent="0.2">
      <c r="C594" s="10" t="s">
        <v>13</v>
      </c>
      <c r="E594" s="19" t="str">
        <f>C594</f>
        <v>Capital Total</v>
      </c>
      <c r="F594" s="20">
        <f>SUM(F586:F593)</f>
        <v>10228260</v>
      </c>
      <c r="G594" s="20">
        <f>SUM(G586:G593)</f>
        <v>16239130</v>
      </c>
      <c r="H594" s="20">
        <f>SUM(H586:H593)</f>
        <v>19500000</v>
      </c>
    </row>
    <row r="595" spans="1:9" x14ac:dyDescent="0.2">
      <c r="C595" s="10" t="s">
        <v>14</v>
      </c>
      <c r="E595" s="10" t="s">
        <v>15</v>
      </c>
      <c r="F595" s="21">
        <v>100000</v>
      </c>
      <c r="G595" s="21">
        <v>100000</v>
      </c>
      <c r="H595" s="21">
        <v>100000</v>
      </c>
    </row>
    <row r="596" spans="1:9" x14ac:dyDescent="0.2">
      <c r="B596" s="10" t="s">
        <v>103</v>
      </c>
      <c r="E596" s="23" t="s">
        <v>17</v>
      </c>
      <c r="F596" s="24">
        <f>SUM(F594:F595)</f>
        <v>10328260</v>
      </c>
      <c r="G596" s="24">
        <f t="shared" ref="G596:H596" si="30">SUM(G594:G595)</f>
        <v>16339130</v>
      </c>
      <c r="H596" s="24">
        <f t="shared" si="30"/>
        <v>19600000</v>
      </c>
    </row>
    <row r="597" spans="1:9" x14ac:dyDescent="0.2">
      <c r="F597" s="11"/>
      <c r="G597" s="11"/>
      <c r="H597" s="11"/>
    </row>
    <row r="598" spans="1:9" s="12" customFormat="1" x14ac:dyDescent="0.2">
      <c r="A598" s="91" t="str">
        <f>B600</f>
        <v>WARD 47</v>
      </c>
      <c r="B598" s="91"/>
      <c r="C598" s="91"/>
      <c r="D598" s="99" t="str">
        <f>A598</f>
        <v>WARD 47</v>
      </c>
      <c r="E598" s="99"/>
      <c r="F598" s="99"/>
      <c r="G598" s="99"/>
      <c r="H598" s="99"/>
      <c r="I598" s="99"/>
    </row>
    <row r="599" spans="1:9" s="92" customFormat="1" ht="45" x14ac:dyDescent="0.2">
      <c r="D599" s="34" t="s">
        <v>8</v>
      </c>
      <c r="E599" s="35" t="s">
        <v>9</v>
      </c>
      <c r="F599" s="36" t="s">
        <v>719</v>
      </c>
      <c r="G599" s="36" t="s">
        <v>720</v>
      </c>
      <c r="H599" s="36" t="s">
        <v>721</v>
      </c>
      <c r="I599" s="35" t="s">
        <v>10</v>
      </c>
    </row>
    <row r="600" spans="1:9" x14ac:dyDescent="0.2">
      <c r="A600" s="10">
        <v>47</v>
      </c>
      <c r="B600" s="10" t="s">
        <v>104</v>
      </c>
      <c r="C600" s="10" t="s">
        <v>12</v>
      </c>
      <c r="D600" s="9">
        <v>20190168</v>
      </c>
      <c r="E600" s="10" t="s">
        <v>664</v>
      </c>
      <c r="F600" s="11">
        <v>500000</v>
      </c>
      <c r="G600" s="11">
        <v>500000</v>
      </c>
      <c r="H600" s="11">
        <v>500000</v>
      </c>
    </row>
    <row r="601" spans="1:9" x14ac:dyDescent="0.2">
      <c r="D601" s="9">
        <v>20190283</v>
      </c>
      <c r="E601" s="10" t="s">
        <v>652</v>
      </c>
      <c r="F601" s="11">
        <v>500000</v>
      </c>
      <c r="G601" s="11">
        <v>500000</v>
      </c>
      <c r="H601" s="11">
        <v>500000</v>
      </c>
    </row>
    <row r="602" spans="1:9" x14ac:dyDescent="0.2">
      <c r="D602" s="9">
        <v>20230276</v>
      </c>
      <c r="E602" s="10" t="s">
        <v>747</v>
      </c>
      <c r="F602" s="11">
        <v>1750000</v>
      </c>
      <c r="G602" s="11"/>
      <c r="H602" s="11"/>
    </row>
    <row r="603" spans="1:9" x14ac:dyDescent="0.2">
      <c r="D603" s="9">
        <v>20240138</v>
      </c>
      <c r="E603" s="10" t="s">
        <v>510</v>
      </c>
      <c r="F603" s="11"/>
      <c r="G603" s="11">
        <v>3000000</v>
      </c>
      <c r="H603" s="11">
        <v>3000000</v>
      </c>
    </row>
    <row r="604" spans="1:9" x14ac:dyDescent="0.2">
      <c r="D604" s="9">
        <v>20240153</v>
      </c>
      <c r="E604" s="10" t="s">
        <v>785</v>
      </c>
      <c r="F604" s="11"/>
      <c r="G604" s="11">
        <v>1600000</v>
      </c>
      <c r="H604" s="11"/>
    </row>
    <row r="605" spans="1:9" x14ac:dyDescent="0.2">
      <c r="D605" s="9">
        <v>20240213</v>
      </c>
      <c r="E605" s="10" t="s">
        <v>665</v>
      </c>
      <c r="F605" s="11"/>
      <c r="G605" s="11">
        <v>500000</v>
      </c>
      <c r="H605" s="11">
        <v>500000</v>
      </c>
    </row>
    <row r="606" spans="1:9" x14ac:dyDescent="0.2">
      <c r="D606" s="9">
        <v>20240276</v>
      </c>
      <c r="E606" s="10" t="s">
        <v>779</v>
      </c>
      <c r="F606" s="11"/>
      <c r="G606" s="11">
        <v>652170</v>
      </c>
      <c r="H606" s="11">
        <v>521740</v>
      </c>
      <c r="I606" s="10">
        <v>2656280</v>
      </c>
    </row>
    <row r="607" spans="1:9" x14ac:dyDescent="0.2">
      <c r="D607" s="9">
        <v>20240293</v>
      </c>
      <c r="E607" s="10" t="s">
        <v>776</v>
      </c>
      <c r="F607" s="11"/>
      <c r="G607" s="11">
        <v>1304350</v>
      </c>
      <c r="H607" s="11">
        <v>1043480</v>
      </c>
      <c r="I607" s="10">
        <v>1163790</v>
      </c>
    </row>
    <row r="608" spans="1:9" x14ac:dyDescent="0.2">
      <c r="D608" s="9">
        <v>20240296</v>
      </c>
      <c r="E608" s="10" t="s">
        <v>777</v>
      </c>
      <c r="F608" s="11"/>
      <c r="G608" s="11">
        <v>1739130</v>
      </c>
      <c r="H608" s="11">
        <v>1391310</v>
      </c>
      <c r="I608" s="10">
        <v>3879320</v>
      </c>
    </row>
    <row r="609" spans="1:9" x14ac:dyDescent="0.2">
      <c r="D609" s="9">
        <v>20240298</v>
      </c>
      <c r="E609" s="10" t="s">
        <v>778</v>
      </c>
      <c r="F609" s="11"/>
      <c r="G609" s="11">
        <v>652170</v>
      </c>
      <c r="H609" s="11">
        <v>521740</v>
      </c>
      <c r="I609" s="10">
        <v>5172410</v>
      </c>
    </row>
    <row r="610" spans="1:9" x14ac:dyDescent="0.2">
      <c r="D610" s="9">
        <v>20250266</v>
      </c>
      <c r="E610" s="10" t="s">
        <v>604</v>
      </c>
      <c r="F610" s="11"/>
      <c r="G610" s="11">
        <v>1739130</v>
      </c>
      <c r="H610" s="11">
        <v>4347830</v>
      </c>
    </row>
    <row r="611" spans="1:9" x14ac:dyDescent="0.2">
      <c r="D611" s="9">
        <v>20250283</v>
      </c>
      <c r="E611" s="10" t="s">
        <v>610</v>
      </c>
      <c r="F611" s="11">
        <v>1478260</v>
      </c>
      <c r="G611" s="11"/>
      <c r="H611" s="11"/>
    </row>
    <row r="612" spans="1:9" x14ac:dyDescent="0.2">
      <c r="D612" s="9">
        <v>20250291</v>
      </c>
      <c r="E612" s="10" t="s">
        <v>615</v>
      </c>
      <c r="F612" s="11"/>
      <c r="G612" s="11"/>
      <c r="H612" s="11">
        <v>5652170</v>
      </c>
    </row>
    <row r="613" spans="1:9" x14ac:dyDescent="0.2">
      <c r="D613" s="9">
        <v>20250079</v>
      </c>
      <c r="E613" s="10" t="s">
        <v>855</v>
      </c>
      <c r="F613" s="11">
        <v>1500000</v>
      </c>
      <c r="G613" s="11"/>
      <c r="H613" s="11"/>
    </row>
    <row r="614" spans="1:9" x14ac:dyDescent="0.2">
      <c r="C614" s="10" t="s">
        <v>13</v>
      </c>
      <c r="E614" s="19" t="str">
        <f>C614</f>
        <v>Capital Total</v>
      </c>
      <c r="F614" s="20">
        <f>SUM(F600:F613)</f>
        <v>5728260</v>
      </c>
      <c r="G614" s="20">
        <f>SUM(G600:G613)</f>
        <v>12186950</v>
      </c>
      <c r="H614" s="20">
        <f>SUM(H600:H613)</f>
        <v>17978270</v>
      </c>
    </row>
    <row r="615" spans="1:9" x14ac:dyDescent="0.2">
      <c r="C615" s="10" t="s">
        <v>14</v>
      </c>
      <c r="E615" s="10" t="s">
        <v>15</v>
      </c>
      <c r="F615" s="21">
        <v>100000</v>
      </c>
      <c r="G615" s="21">
        <v>100000</v>
      </c>
      <c r="H615" s="21">
        <v>100000</v>
      </c>
    </row>
    <row r="616" spans="1:9" x14ac:dyDescent="0.2">
      <c r="B616" s="10" t="s">
        <v>105</v>
      </c>
      <c r="E616" s="23" t="s">
        <v>17</v>
      </c>
      <c r="F616" s="24">
        <f>SUM(F614:F615)</f>
        <v>5828260</v>
      </c>
      <c r="G616" s="24">
        <f>SUM(G614:G615)</f>
        <v>12286950</v>
      </c>
      <c r="H616" s="24">
        <f>SUM(H614:H615)</f>
        <v>18078270</v>
      </c>
    </row>
    <row r="617" spans="1:9" x14ac:dyDescent="0.2">
      <c r="E617" s="23"/>
      <c r="F617" s="11"/>
      <c r="G617" s="11"/>
      <c r="H617" s="11"/>
    </row>
    <row r="618" spans="1:9" s="12" customFormat="1" x14ac:dyDescent="0.2">
      <c r="A618" s="91" t="e">
        <f>#REF!</f>
        <v>#REF!</v>
      </c>
      <c r="B618" s="91"/>
      <c r="C618" s="91"/>
      <c r="D618" s="99" t="s">
        <v>106</v>
      </c>
      <c r="E618" s="99"/>
      <c r="F618" s="99"/>
      <c r="G618" s="99"/>
      <c r="H618" s="99"/>
      <c r="I618" s="99"/>
    </row>
    <row r="619" spans="1:9" s="92" customFormat="1" ht="45" x14ac:dyDescent="0.2">
      <c r="D619" s="34" t="s">
        <v>8</v>
      </c>
      <c r="E619" s="35" t="s">
        <v>9</v>
      </c>
      <c r="F619" s="36" t="s">
        <v>719</v>
      </c>
      <c r="G619" s="36" t="s">
        <v>720</v>
      </c>
      <c r="H619" s="36" t="s">
        <v>721</v>
      </c>
      <c r="I619" s="35" t="s">
        <v>10</v>
      </c>
    </row>
    <row r="620" spans="1:9" x14ac:dyDescent="0.2">
      <c r="D620" s="9">
        <v>20170022</v>
      </c>
      <c r="E620" s="10" t="s">
        <v>802</v>
      </c>
      <c r="F620" s="11">
        <v>3000000</v>
      </c>
      <c r="G620" s="11"/>
      <c r="H620" s="11"/>
      <c r="I620" s="10">
        <v>500000</v>
      </c>
    </row>
    <row r="621" spans="1:9" x14ac:dyDescent="0.2">
      <c r="D621" s="9">
        <v>20230170</v>
      </c>
      <c r="E621" s="10" t="s">
        <v>653</v>
      </c>
      <c r="F621" s="11">
        <v>500000</v>
      </c>
      <c r="G621" s="11"/>
      <c r="H621" s="11"/>
      <c r="I621" s="10">
        <v>1200000</v>
      </c>
    </row>
    <row r="622" spans="1:9" x14ac:dyDescent="0.2">
      <c r="D622" s="9">
        <v>20230217</v>
      </c>
      <c r="E622" s="10" t="s">
        <v>654</v>
      </c>
      <c r="F622" s="11">
        <v>1200000</v>
      </c>
      <c r="G622" s="11"/>
      <c r="H622" s="11"/>
      <c r="I622" s="10">
        <v>1000000</v>
      </c>
    </row>
    <row r="623" spans="1:9" x14ac:dyDescent="0.2">
      <c r="D623" s="9">
        <v>20230277</v>
      </c>
      <c r="E623" s="10" t="s">
        <v>764</v>
      </c>
      <c r="F623" s="11">
        <v>400000</v>
      </c>
      <c r="G623" s="11"/>
      <c r="H623" s="11"/>
      <c r="I623" s="10">
        <v>1392830</v>
      </c>
    </row>
    <row r="624" spans="1:9" x14ac:dyDescent="0.2">
      <c r="D624" s="9">
        <v>20240216</v>
      </c>
      <c r="E624" s="10" t="s">
        <v>655</v>
      </c>
      <c r="F624" s="11"/>
      <c r="G624" s="11">
        <v>500000</v>
      </c>
      <c r="H624" s="11">
        <v>500000</v>
      </c>
      <c r="I624" s="10">
        <v>1163790</v>
      </c>
    </row>
    <row r="625" spans="3:9" x14ac:dyDescent="0.2">
      <c r="D625" s="9">
        <v>20240275</v>
      </c>
      <c r="E625" s="10" t="s">
        <v>656</v>
      </c>
      <c r="F625" s="11"/>
      <c r="G625" s="11">
        <v>704370</v>
      </c>
      <c r="H625" s="11">
        <v>700570</v>
      </c>
      <c r="I625" s="10">
        <v>1939650</v>
      </c>
    </row>
    <row r="626" spans="3:9" x14ac:dyDescent="0.2">
      <c r="D626" s="9">
        <v>20240277</v>
      </c>
      <c r="E626" s="10" t="s">
        <v>775</v>
      </c>
      <c r="F626" s="11"/>
      <c r="G626" s="11">
        <v>1043480</v>
      </c>
      <c r="H626" s="11">
        <v>913040</v>
      </c>
      <c r="I626" s="10">
        <v>3498590</v>
      </c>
    </row>
    <row r="627" spans="3:9" x14ac:dyDescent="0.2">
      <c r="D627" s="9">
        <v>20240290</v>
      </c>
      <c r="E627" s="10" t="s">
        <v>657</v>
      </c>
      <c r="F627" s="11"/>
      <c r="G627" s="11">
        <v>1278250</v>
      </c>
      <c r="H627" s="11">
        <v>1401130</v>
      </c>
      <c r="I627" s="10">
        <v>1392830</v>
      </c>
    </row>
    <row r="628" spans="3:9" x14ac:dyDescent="0.2">
      <c r="D628" s="9">
        <v>20240291</v>
      </c>
      <c r="E628" s="10" t="s">
        <v>780</v>
      </c>
      <c r="F628" s="11"/>
      <c r="G628" s="11">
        <v>1660840</v>
      </c>
      <c r="H628" s="11">
        <v>1868170</v>
      </c>
      <c r="I628" s="10">
        <v>2327580</v>
      </c>
    </row>
    <row r="629" spans="3:9" x14ac:dyDescent="0.2">
      <c r="D629" s="9">
        <v>20240292</v>
      </c>
      <c r="E629" s="10" t="s">
        <v>658</v>
      </c>
      <c r="F629" s="11"/>
      <c r="G629" s="11">
        <v>704370</v>
      </c>
      <c r="H629" s="11">
        <v>700570</v>
      </c>
      <c r="I629" s="10">
        <v>3103450</v>
      </c>
    </row>
    <row r="630" spans="3:9" x14ac:dyDescent="0.2">
      <c r="D630" s="9">
        <v>20240300</v>
      </c>
      <c r="E630" s="10" t="s">
        <v>773</v>
      </c>
      <c r="F630" s="11"/>
      <c r="G630" s="11">
        <v>2086960</v>
      </c>
      <c r="H630" s="11">
        <v>1826090</v>
      </c>
      <c r="I630" s="10">
        <v>905170</v>
      </c>
    </row>
    <row r="631" spans="3:9" x14ac:dyDescent="0.2">
      <c r="D631" s="9">
        <v>20240302</v>
      </c>
      <c r="E631" s="10" t="s">
        <v>659</v>
      </c>
      <c r="F631" s="11"/>
      <c r="G631" s="11">
        <v>2782610</v>
      </c>
      <c r="H631" s="11">
        <v>2434780</v>
      </c>
      <c r="I631" s="10">
        <v>689650</v>
      </c>
    </row>
    <row r="632" spans="3:9" x14ac:dyDescent="0.2">
      <c r="D632" s="9">
        <v>20240303</v>
      </c>
      <c r="E632" s="10" t="s">
        <v>774</v>
      </c>
      <c r="F632" s="11"/>
      <c r="G632" s="11">
        <v>1043480</v>
      </c>
      <c r="H632" s="11">
        <v>913040</v>
      </c>
      <c r="I632" s="10">
        <v>258630</v>
      </c>
    </row>
    <row r="633" spans="3:9" x14ac:dyDescent="0.2">
      <c r="D633" s="9">
        <v>20250078</v>
      </c>
      <c r="E633" s="10" t="s">
        <v>667</v>
      </c>
      <c r="F633" s="11">
        <v>7000000</v>
      </c>
      <c r="G633" s="11"/>
      <c r="H633" s="11"/>
      <c r="I633" s="10">
        <v>258630</v>
      </c>
    </row>
    <row r="634" spans="3:9" x14ac:dyDescent="0.2">
      <c r="D634" s="9">
        <v>20250134</v>
      </c>
      <c r="E634" s="10" t="s">
        <v>660</v>
      </c>
      <c r="F634" s="11"/>
      <c r="G634" s="11">
        <v>521730</v>
      </c>
      <c r="H634" s="11">
        <v>173910</v>
      </c>
      <c r="I634" s="10">
        <v>517240</v>
      </c>
    </row>
    <row r="635" spans="3:9" x14ac:dyDescent="0.2">
      <c r="D635" s="9">
        <v>20250135</v>
      </c>
      <c r="E635" s="10" t="s">
        <v>661</v>
      </c>
      <c r="F635" s="11"/>
      <c r="G635" s="11">
        <v>195650</v>
      </c>
      <c r="H635" s="11">
        <v>65220</v>
      </c>
    </row>
    <row r="636" spans="3:9" x14ac:dyDescent="0.2">
      <c r="D636" s="9">
        <v>20250136</v>
      </c>
      <c r="E636" s="10" t="s">
        <v>662</v>
      </c>
      <c r="F636" s="11"/>
      <c r="G636" s="11">
        <v>195650</v>
      </c>
      <c r="H636" s="11">
        <v>65220</v>
      </c>
    </row>
    <row r="637" spans="3:9" x14ac:dyDescent="0.2">
      <c r="D637" s="9">
        <v>20250137</v>
      </c>
      <c r="E637" s="10" t="s">
        <v>663</v>
      </c>
      <c r="F637" s="11"/>
      <c r="G637" s="11">
        <v>391300</v>
      </c>
      <c r="H637" s="11">
        <v>130430</v>
      </c>
    </row>
    <row r="638" spans="3:9" x14ac:dyDescent="0.2">
      <c r="D638" s="9">
        <v>20250265</v>
      </c>
      <c r="E638" s="10" t="s">
        <v>603</v>
      </c>
      <c r="F638" s="11"/>
      <c r="G638" s="11">
        <v>2608700</v>
      </c>
      <c r="H638" s="11"/>
    </row>
    <row r="639" spans="3:9" x14ac:dyDescent="0.2">
      <c r="C639" s="10" t="s">
        <v>13</v>
      </c>
      <c r="E639" s="19" t="str">
        <f>C639</f>
        <v>Capital Total</v>
      </c>
      <c r="F639" s="20">
        <f>SUM(F620:F638)</f>
        <v>12100000</v>
      </c>
      <c r="G639" s="20">
        <f>SUM(G620:G638)</f>
        <v>15717390</v>
      </c>
      <c r="H639" s="20">
        <f>SUM(H620:H638)</f>
        <v>11692170</v>
      </c>
    </row>
    <row r="640" spans="3:9" x14ac:dyDescent="0.2">
      <c r="E640" s="10" t="s">
        <v>826</v>
      </c>
      <c r="F640" s="29">
        <v>4311720</v>
      </c>
      <c r="G640" s="93"/>
      <c r="H640" s="93"/>
    </row>
    <row r="641" spans="1:9" x14ac:dyDescent="0.2">
      <c r="C641" s="10" t="s">
        <v>14</v>
      </c>
      <c r="E641" s="10" t="s">
        <v>15</v>
      </c>
      <c r="F641" s="21">
        <v>100000</v>
      </c>
      <c r="G641" s="21">
        <v>100000</v>
      </c>
      <c r="H641" s="21">
        <v>100000</v>
      </c>
    </row>
    <row r="642" spans="1:9" x14ac:dyDescent="0.2">
      <c r="B642" s="10" t="s">
        <v>107</v>
      </c>
      <c r="E642" s="23" t="s">
        <v>17</v>
      </c>
      <c r="F642" s="24">
        <f>SUM(F639:F641)</f>
        <v>16511720</v>
      </c>
      <c r="G642" s="24">
        <f>SUM(G639:G641)</f>
        <v>15817390</v>
      </c>
      <c r="H642" s="24">
        <f>SUM(H639:H641)</f>
        <v>11792170</v>
      </c>
    </row>
    <row r="643" spans="1:9" x14ac:dyDescent="0.2">
      <c r="E643" s="23"/>
      <c r="F643" s="11"/>
      <c r="G643" s="11"/>
      <c r="H643" s="11"/>
    </row>
    <row r="644" spans="1:9" s="12" customFormat="1" x14ac:dyDescent="0.2">
      <c r="A644" s="91" t="str">
        <f>B646</f>
        <v>WARD 49</v>
      </c>
      <c r="B644" s="91"/>
      <c r="C644" s="91"/>
      <c r="D644" s="99" t="str">
        <f>A644</f>
        <v>WARD 49</v>
      </c>
      <c r="E644" s="99"/>
      <c r="F644" s="99"/>
      <c r="G644" s="99"/>
      <c r="H644" s="99"/>
      <c r="I644" s="99"/>
    </row>
    <row r="645" spans="1:9" s="92" customFormat="1" ht="45" x14ac:dyDescent="0.2">
      <c r="D645" s="34" t="s">
        <v>8</v>
      </c>
      <c r="E645" s="35" t="s">
        <v>9</v>
      </c>
      <c r="F645" s="36" t="s">
        <v>719</v>
      </c>
      <c r="G645" s="36" t="s">
        <v>720</v>
      </c>
      <c r="H645" s="36" t="s">
        <v>721</v>
      </c>
      <c r="I645" s="35" t="s">
        <v>10</v>
      </c>
    </row>
    <row r="646" spans="1:9" x14ac:dyDescent="0.2">
      <c r="A646" s="10">
        <v>49</v>
      </c>
      <c r="B646" s="10" t="s">
        <v>108</v>
      </c>
      <c r="C646" s="10" t="s">
        <v>12</v>
      </c>
      <c r="D646" s="9">
        <v>20230277</v>
      </c>
      <c r="E646" s="10" t="s">
        <v>765</v>
      </c>
      <c r="F646" s="11">
        <v>400000</v>
      </c>
      <c r="G646" s="11"/>
      <c r="H646" s="11"/>
    </row>
    <row r="647" spans="1:9" x14ac:dyDescent="0.2">
      <c r="D647" s="9">
        <v>20250273</v>
      </c>
      <c r="E647" s="10" t="s">
        <v>607</v>
      </c>
      <c r="F647" s="11"/>
      <c r="G647" s="11"/>
      <c r="H647" s="11">
        <v>6956520</v>
      </c>
    </row>
    <row r="648" spans="1:9" x14ac:dyDescent="0.2">
      <c r="D648" s="9">
        <v>20250079</v>
      </c>
      <c r="E648" s="10" t="s">
        <v>855</v>
      </c>
      <c r="F648" s="11">
        <v>1500000</v>
      </c>
      <c r="G648" s="11"/>
      <c r="H648" s="11"/>
    </row>
    <row r="649" spans="1:9" x14ac:dyDescent="0.2">
      <c r="F649" s="11"/>
      <c r="G649" s="11"/>
      <c r="H649" s="11"/>
    </row>
    <row r="650" spans="1:9" x14ac:dyDescent="0.2">
      <c r="C650" s="10" t="s">
        <v>13</v>
      </c>
      <c r="E650" s="19" t="str">
        <f>C650</f>
        <v>Capital Total</v>
      </c>
      <c r="F650" s="20">
        <f>SUM(F646:F649)</f>
        <v>1900000</v>
      </c>
      <c r="G650" s="20">
        <f>SUM(G646:G649)</f>
        <v>0</v>
      </c>
      <c r="H650" s="20">
        <f>SUM(H646:H649)</f>
        <v>6956520</v>
      </c>
    </row>
    <row r="651" spans="1:9" x14ac:dyDescent="0.2">
      <c r="C651" s="10" t="s">
        <v>14</v>
      </c>
      <c r="E651" s="10" t="s">
        <v>15</v>
      </c>
      <c r="F651" s="21">
        <v>100000</v>
      </c>
      <c r="G651" s="21">
        <v>100000</v>
      </c>
      <c r="H651" s="21">
        <v>100000</v>
      </c>
    </row>
    <row r="652" spans="1:9" x14ac:dyDescent="0.2">
      <c r="B652" s="10" t="s">
        <v>109</v>
      </c>
      <c r="E652" s="23" t="s">
        <v>17</v>
      </c>
      <c r="F652" s="24">
        <f>SUM(F650:F651)</f>
        <v>2000000</v>
      </c>
      <c r="G652" s="24">
        <f>SUM(G650:G651)</f>
        <v>100000</v>
      </c>
      <c r="H652" s="24">
        <f>SUM(H650:H651)</f>
        <v>7056520</v>
      </c>
    </row>
    <row r="653" spans="1:9" x14ac:dyDescent="0.2">
      <c r="E653" s="23"/>
      <c r="F653" s="11"/>
      <c r="G653" s="11"/>
      <c r="H653" s="11"/>
    </row>
    <row r="654" spans="1:9" s="12" customFormat="1" x14ac:dyDescent="0.2">
      <c r="A654" s="91" t="e">
        <f>#REF!</f>
        <v>#REF!</v>
      </c>
      <c r="B654" s="91"/>
      <c r="C654" s="91"/>
      <c r="D654" s="99" t="s">
        <v>715</v>
      </c>
      <c r="E654" s="99"/>
      <c r="F654" s="99"/>
      <c r="G654" s="99"/>
      <c r="H654" s="99"/>
      <c r="I654" s="99"/>
    </row>
    <row r="655" spans="1:9" s="92" customFormat="1" ht="45" x14ac:dyDescent="0.2">
      <c r="D655" s="34" t="s">
        <v>8</v>
      </c>
      <c r="E655" s="35" t="s">
        <v>9</v>
      </c>
      <c r="F655" s="36" t="s">
        <v>719</v>
      </c>
      <c r="G655" s="36" t="s">
        <v>720</v>
      </c>
      <c r="H655" s="36" t="s">
        <v>721</v>
      </c>
      <c r="I655" s="35" t="s">
        <v>10</v>
      </c>
    </row>
    <row r="656" spans="1:9" x14ac:dyDescent="0.2">
      <c r="D656" s="9">
        <v>20210227</v>
      </c>
      <c r="E656" s="10" t="s">
        <v>651</v>
      </c>
      <c r="F656" s="11">
        <v>600000</v>
      </c>
      <c r="G656" s="11">
        <v>600000</v>
      </c>
      <c r="H656" s="11">
        <v>600000</v>
      </c>
    </row>
    <row r="657" spans="1:9" x14ac:dyDescent="0.2">
      <c r="D657" s="9">
        <v>20230277</v>
      </c>
      <c r="E657" s="10" t="s">
        <v>766</v>
      </c>
      <c r="F657" s="11">
        <v>400000</v>
      </c>
      <c r="G657" s="11"/>
      <c r="H657" s="11"/>
    </row>
    <row r="658" spans="1:9" x14ac:dyDescent="0.2">
      <c r="D658" s="9">
        <v>20250084</v>
      </c>
      <c r="E658" s="10" t="s">
        <v>591</v>
      </c>
      <c r="F658" s="11">
        <v>10000000</v>
      </c>
      <c r="G658" s="11"/>
      <c r="H658" s="11"/>
    </row>
    <row r="659" spans="1:9" x14ac:dyDescent="0.2">
      <c r="D659" s="9">
        <v>20250285</v>
      </c>
      <c r="E659" s="10" t="s">
        <v>611</v>
      </c>
      <c r="F659" s="11">
        <v>1478260</v>
      </c>
      <c r="G659" s="11"/>
      <c r="H659" s="11"/>
    </row>
    <row r="660" spans="1:9" x14ac:dyDescent="0.2">
      <c r="C660" s="10" t="s">
        <v>13</v>
      </c>
      <c r="E660" s="19" t="str">
        <f>C660</f>
        <v>Capital Total</v>
      </c>
      <c r="F660" s="20">
        <f>SUM(F656:F659)</f>
        <v>12478260</v>
      </c>
      <c r="G660" s="20">
        <f>SUM(G656:G659)</f>
        <v>600000</v>
      </c>
      <c r="H660" s="20">
        <f>SUM(H656:H659)</f>
        <v>600000</v>
      </c>
    </row>
    <row r="661" spans="1:9" x14ac:dyDescent="0.2">
      <c r="E661" s="10" t="s">
        <v>825</v>
      </c>
      <c r="F661" s="29">
        <v>10563714</v>
      </c>
      <c r="G661" s="93"/>
      <c r="H661" s="93"/>
    </row>
    <row r="662" spans="1:9" x14ac:dyDescent="0.2">
      <c r="C662" s="10" t="s">
        <v>14</v>
      </c>
      <c r="E662" s="10" t="s">
        <v>15</v>
      </c>
      <c r="F662" s="21">
        <v>100000</v>
      </c>
      <c r="G662" s="21">
        <v>100000</v>
      </c>
      <c r="H662" s="21">
        <v>100000</v>
      </c>
    </row>
    <row r="663" spans="1:9" x14ac:dyDescent="0.2">
      <c r="B663" s="10" t="s">
        <v>110</v>
      </c>
      <c r="E663" s="23" t="s">
        <v>17</v>
      </c>
      <c r="F663" s="24">
        <f>SUM(F660:F662)</f>
        <v>23141974</v>
      </c>
      <c r="G663" s="24">
        <f>SUM(G660:G662)</f>
        <v>700000</v>
      </c>
      <c r="H663" s="24">
        <f>SUM(H660:H662)</f>
        <v>700000</v>
      </c>
    </row>
    <row r="664" spans="1:9" x14ac:dyDescent="0.2">
      <c r="E664" s="23"/>
      <c r="F664" s="11"/>
      <c r="G664" s="11"/>
      <c r="H664" s="11"/>
    </row>
    <row r="665" spans="1:9" s="12" customFormat="1" x14ac:dyDescent="0.2">
      <c r="A665" s="91" t="str">
        <f>B667</f>
        <v>WARD 51</v>
      </c>
      <c r="B665" s="91"/>
      <c r="C665" s="91"/>
      <c r="D665" s="99" t="str">
        <f>A665</f>
        <v>WARD 51</v>
      </c>
      <c r="E665" s="99"/>
      <c r="F665" s="99"/>
      <c r="G665" s="99"/>
      <c r="H665" s="99"/>
      <c r="I665" s="99"/>
    </row>
    <row r="666" spans="1:9" s="92" customFormat="1" ht="45" x14ac:dyDescent="0.2">
      <c r="D666" s="34" t="s">
        <v>8</v>
      </c>
      <c r="E666" s="35" t="s">
        <v>9</v>
      </c>
      <c r="F666" s="36" t="s">
        <v>719</v>
      </c>
      <c r="G666" s="36" t="s">
        <v>720</v>
      </c>
      <c r="H666" s="36" t="s">
        <v>721</v>
      </c>
      <c r="I666" s="35" t="s">
        <v>10</v>
      </c>
    </row>
    <row r="667" spans="1:9" x14ac:dyDescent="0.2">
      <c r="A667" s="10">
        <v>51</v>
      </c>
      <c r="B667" s="10" t="s">
        <v>111</v>
      </c>
      <c r="C667" s="10" t="s">
        <v>12</v>
      </c>
      <c r="D667" s="9">
        <v>20240143</v>
      </c>
      <c r="E667" s="10" t="s">
        <v>873</v>
      </c>
      <c r="F667" s="11">
        <v>2000000</v>
      </c>
      <c r="G667" s="11">
        <v>2000000</v>
      </c>
      <c r="H667" s="11">
        <v>2000000</v>
      </c>
    </row>
    <row r="668" spans="1:9" x14ac:dyDescent="0.2">
      <c r="D668" s="9">
        <v>20240144</v>
      </c>
      <c r="E668" s="10" t="s">
        <v>514</v>
      </c>
      <c r="F668" s="11"/>
      <c r="G668" s="11"/>
      <c r="H668" s="11">
        <v>2000000</v>
      </c>
    </row>
    <row r="669" spans="1:9" x14ac:dyDescent="0.2">
      <c r="D669" s="9">
        <v>20190235</v>
      </c>
      <c r="E669" s="10" t="s">
        <v>861</v>
      </c>
      <c r="F669" s="11">
        <v>500000</v>
      </c>
      <c r="G669" s="11"/>
      <c r="H669" s="11"/>
    </row>
    <row r="670" spans="1:9" x14ac:dyDescent="0.2">
      <c r="D670" s="9">
        <v>20250354</v>
      </c>
      <c r="E670" s="10" t="s">
        <v>874</v>
      </c>
      <c r="F670" s="11">
        <v>1600000</v>
      </c>
      <c r="G670" s="11"/>
      <c r="H670" s="11">
        <v>1600000</v>
      </c>
    </row>
    <row r="671" spans="1:9" x14ac:dyDescent="0.2">
      <c r="F671" s="11"/>
      <c r="G671" s="11"/>
      <c r="H671" s="11"/>
    </row>
    <row r="672" spans="1:9" x14ac:dyDescent="0.2">
      <c r="C672" s="10" t="s">
        <v>13</v>
      </c>
      <c r="E672" s="19" t="str">
        <f>C672</f>
        <v>Capital Total</v>
      </c>
      <c r="F672" s="20">
        <f>SUM(F667:F671)</f>
        <v>4100000</v>
      </c>
      <c r="G672" s="20">
        <f>SUM(G667:G671)</f>
        <v>2000000</v>
      </c>
      <c r="H672" s="20">
        <f>SUM(H667:H671)</f>
        <v>5600000</v>
      </c>
    </row>
    <row r="673" spans="1:9" x14ac:dyDescent="0.2">
      <c r="C673" s="10" t="s">
        <v>14</v>
      </c>
      <c r="E673" s="10" t="s">
        <v>15</v>
      </c>
      <c r="F673" s="21">
        <v>100000</v>
      </c>
      <c r="G673" s="21">
        <v>100000</v>
      </c>
      <c r="H673" s="21">
        <v>100000</v>
      </c>
    </row>
    <row r="674" spans="1:9" x14ac:dyDescent="0.2">
      <c r="B674" s="10" t="s">
        <v>112</v>
      </c>
      <c r="E674" s="23" t="s">
        <v>17</v>
      </c>
      <c r="F674" s="24">
        <f>SUM(F672:F673)</f>
        <v>4200000</v>
      </c>
      <c r="G674" s="24">
        <f t="shared" ref="G674:H674" si="31">SUM(G672:G673)</f>
        <v>2100000</v>
      </c>
      <c r="H674" s="24">
        <f t="shared" si="31"/>
        <v>5700000</v>
      </c>
    </row>
    <row r="675" spans="1:9" x14ac:dyDescent="0.2">
      <c r="E675" s="23"/>
      <c r="F675" s="11"/>
      <c r="G675" s="11"/>
      <c r="H675" s="11"/>
    </row>
    <row r="676" spans="1:9" s="12" customFormat="1" x14ac:dyDescent="0.2">
      <c r="A676" s="91" t="str">
        <f>B678</f>
        <v>WARD 52</v>
      </c>
      <c r="B676" s="91"/>
      <c r="C676" s="91"/>
      <c r="D676" s="99" t="str">
        <f>A676</f>
        <v>WARD 52</v>
      </c>
      <c r="E676" s="99"/>
      <c r="F676" s="99"/>
      <c r="G676" s="99"/>
      <c r="H676" s="99"/>
      <c r="I676" s="99"/>
    </row>
    <row r="677" spans="1:9" s="92" customFormat="1" ht="45" x14ac:dyDescent="0.2">
      <c r="D677" s="34" t="s">
        <v>8</v>
      </c>
      <c r="E677" s="35" t="s">
        <v>9</v>
      </c>
      <c r="F677" s="36" t="s">
        <v>719</v>
      </c>
      <c r="G677" s="36" t="s">
        <v>720</v>
      </c>
      <c r="H677" s="36" t="s">
        <v>721</v>
      </c>
      <c r="I677" s="35" t="s">
        <v>10</v>
      </c>
    </row>
    <row r="678" spans="1:9" x14ac:dyDescent="0.2">
      <c r="A678" s="10">
        <v>52</v>
      </c>
      <c r="B678" s="10" t="s">
        <v>113</v>
      </c>
      <c r="C678" s="10" t="s">
        <v>12</v>
      </c>
      <c r="D678" s="9">
        <v>20200125</v>
      </c>
      <c r="E678" s="10" t="s">
        <v>650</v>
      </c>
      <c r="F678" s="11">
        <v>1000000</v>
      </c>
      <c r="G678" s="11">
        <v>2500000</v>
      </c>
      <c r="H678" s="11">
        <v>2500000</v>
      </c>
    </row>
    <row r="679" spans="1:9" x14ac:dyDescent="0.2">
      <c r="D679" s="9">
        <v>20170022</v>
      </c>
      <c r="E679" s="10" t="s">
        <v>803</v>
      </c>
      <c r="F679" s="11">
        <v>6000000</v>
      </c>
      <c r="G679" s="11"/>
      <c r="H679" s="11"/>
    </row>
    <row r="680" spans="1:9" x14ac:dyDescent="0.2">
      <c r="D680" s="9">
        <v>20230215</v>
      </c>
      <c r="E680" s="10" t="s">
        <v>673</v>
      </c>
      <c r="F680" s="11">
        <v>1300000</v>
      </c>
      <c r="G680" s="11"/>
      <c r="H680" s="11"/>
    </row>
    <row r="681" spans="1:9" x14ac:dyDescent="0.2">
      <c r="D681" s="9">
        <v>20240139</v>
      </c>
      <c r="E681" s="10" t="s">
        <v>511</v>
      </c>
      <c r="F681" s="11">
        <v>300000</v>
      </c>
      <c r="G681" s="11">
        <v>500000</v>
      </c>
      <c r="H681" s="11">
        <v>500000</v>
      </c>
      <c r="I681" s="10">
        <v>500000</v>
      </c>
    </row>
    <row r="682" spans="1:9" x14ac:dyDescent="0.2">
      <c r="D682" s="9">
        <v>20250304</v>
      </c>
      <c r="E682" s="10" t="s">
        <v>620</v>
      </c>
      <c r="F682" s="11">
        <v>434780</v>
      </c>
      <c r="G682" s="11"/>
      <c r="H682" s="11"/>
    </row>
    <row r="683" spans="1:9" x14ac:dyDescent="0.2">
      <c r="F683" s="11"/>
      <c r="G683" s="11"/>
      <c r="H683" s="11"/>
    </row>
    <row r="684" spans="1:9" x14ac:dyDescent="0.2">
      <c r="F684" s="11"/>
      <c r="G684" s="11"/>
      <c r="H684" s="11"/>
    </row>
    <row r="685" spans="1:9" x14ac:dyDescent="0.2">
      <c r="C685" s="10" t="s">
        <v>13</v>
      </c>
      <c r="E685" s="19" t="str">
        <f>C685</f>
        <v>Capital Total</v>
      </c>
      <c r="F685" s="20">
        <f>SUM(F678:F684)</f>
        <v>9034780</v>
      </c>
      <c r="G685" s="20">
        <f>SUM(G678:G684)</f>
        <v>3000000</v>
      </c>
      <c r="H685" s="20">
        <f>SUM(H678:H684)</f>
        <v>3000000</v>
      </c>
    </row>
    <row r="686" spans="1:9" x14ac:dyDescent="0.2">
      <c r="C686" s="10" t="s">
        <v>14</v>
      </c>
      <c r="E686" s="10" t="s">
        <v>15</v>
      </c>
      <c r="F686" s="21">
        <v>100000</v>
      </c>
      <c r="G686" s="21">
        <v>100000</v>
      </c>
      <c r="H686" s="21">
        <v>100000</v>
      </c>
    </row>
    <row r="687" spans="1:9" x14ac:dyDescent="0.2">
      <c r="B687" s="10" t="s">
        <v>114</v>
      </c>
      <c r="E687" s="23" t="s">
        <v>17</v>
      </c>
      <c r="F687" s="24">
        <f>SUM(F685:F686)</f>
        <v>9134780</v>
      </c>
      <c r="G687" s="24">
        <f t="shared" ref="G687:H687" si="32">SUM(G685:G686)</f>
        <v>3100000</v>
      </c>
      <c r="H687" s="24">
        <f t="shared" si="32"/>
        <v>3100000</v>
      </c>
    </row>
    <row r="688" spans="1:9" x14ac:dyDescent="0.2">
      <c r="E688" s="23"/>
      <c r="F688" s="11"/>
      <c r="G688" s="11"/>
      <c r="H688" s="11"/>
    </row>
    <row r="689" spans="1:9" s="12" customFormat="1" x14ac:dyDescent="0.2">
      <c r="A689" s="91">
        <f>B691</f>
        <v>0</v>
      </c>
      <c r="B689" s="91"/>
      <c r="C689" s="91"/>
      <c r="D689" s="99" t="s">
        <v>115</v>
      </c>
      <c r="E689" s="99"/>
      <c r="F689" s="99"/>
      <c r="G689" s="99"/>
      <c r="H689" s="99"/>
      <c r="I689" s="99"/>
    </row>
    <row r="690" spans="1:9" s="92" customFormat="1" ht="45" x14ac:dyDescent="0.2">
      <c r="D690" s="34" t="s">
        <v>8</v>
      </c>
      <c r="E690" s="35" t="s">
        <v>9</v>
      </c>
      <c r="F690" s="36" t="s">
        <v>719</v>
      </c>
      <c r="G690" s="36" t="s">
        <v>720</v>
      </c>
      <c r="H690" s="36" t="s">
        <v>721</v>
      </c>
      <c r="I690" s="35" t="s">
        <v>10</v>
      </c>
    </row>
    <row r="691" spans="1:9" x14ac:dyDescent="0.2">
      <c r="D691" s="9">
        <v>20170022</v>
      </c>
      <c r="E691" s="10" t="s">
        <v>804</v>
      </c>
      <c r="F691" s="11">
        <v>3200000</v>
      </c>
      <c r="G691" s="11"/>
      <c r="H691" s="11"/>
    </row>
    <row r="692" spans="1:9" x14ac:dyDescent="0.2">
      <c r="A692" s="10">
        <v>53</v>
      </c>
      <c r="B692" s="10" t="s">
        <v>115</v>
      </c>
      <c r="C692" s="10" t="s">
        <v>12</v>
      </c>
      <c r="D692" s="9">
        <v>20190171</v>
      </c>
      <c r="E692" s="10" t="s">
        <v>504</v>
      </c>
      <c r="F692" s="11">
        <v>800000</v>
      </c>
      <c r="G692" s="11">
        <v>800000</v>
      </c>
      <c r="H692" s="11">
        <v>800000</v>
      </c>
    </row>
    <row r="693" spans="1:9" x14ac:dyDescent="0.2">
      <c r="D693" s="9">
        <v>20230266</v>
      </c>
      <c r="E693" s="10" t="s">
        <v>646</v>
      </c>
      <c r="F693" s="11">
        <v>1500000</v>
      </c>
      <c r="G693" s="11">
        <v>1500000</v>
      </c>
      <c r="H693" s="11">
        <v>1500000</v>
      </c>
    </row>
    <row r="694" spans="1:9" x14ac:dyDescent="0.2">
      <c r="D694" s="9">
        <v>20230267</v>
      </c>
      <c r="E694" s="10" t="s">
        <v>647</v>
      </c>
      <c r="F694" s="11">
        <v>2000000</v>
      </c>
      <c r="G694" s="11">
        <v>2000000</v>
      </c>
      <c r="H694" s="11">
        <v>2000000</v>
      </c>
    </row>
    <row r="695" spans="1:9" x14ac:dyDescent="0.2">
      <c r="D695" s="9">
        <v>20230276</v>
      </c>
      <c r="E695" s="10" t="s">
        <v>722</v>
      </c>
      <c r="F695" s="11">
        <v>4250000</v>
      </c>
      <c r="G695" s="11"/>
      <c r="H695" s="11"/>
    </row>
    <row r="696" spans="1:9" x14ac:dyDescent="0.2">
      <c r="D696" s="9">
        <v>20190236</v>
      </c>
      <c r="E696" s="10" t="s">
        <v>876</v>
      </c>
      <c r="F696" s="11">
        <v>250000</v>
      </c>
      <c r="G696" s="11"/>
      <c r="H696" s="11"/>
    </row>
    <row r="697" spans="1:9" x14ac:dyDescent="0.2">
      <c r="D697" s="9">
        <v>20240132</v>
      </c>
      <c r="E697" s="10" t="s">
        <v>648</v>
      </c>
      <c r="F697" s="11"/>
      <c r="G697" s="11">
        <v>3000000</v>
      </c>
      <c r="H697" s="11">
        <v>3000000</v>
      </c>
      <c r="I697" s="10">
        <v>500000</v>
      </c>
    </row>
    <row r="698" spans="1:9" x14ac:dyDescent="0.2">
      <c r="D698" s="9">
        <v>20240163</v>
      </c>
      <c r="E698" s="15" t="s">
        <v>649</v>
      </c>
      <c r="F698" s="11">
        <v>1000000</v>
      </c>
      <c r="G698" s="11"/>
      <c r="H698" s="11"/>
    </row>
    <row r="699" spans="1:9" x14ac:dyDescent="0.2">
      <c r="D699" s="9">
        <v>20250301</v>
      </c>
      <c r="E699" s="10" t="s">
        <v>618</v>
      </c>
      <c r="F699" s="11"/>
      <c r="G699" s="11"/>
      <c r="H699" s="11">
        <v>260870</v>
      </c>
    </row>
    <row r="700" spans="1:9" x14ac:dyDescent="0.2">
      <c r="C700" s="10" t="s">
        <v>13</v>
      </c>
      <c r="E700" s="19" t="str">
        <f>C700</f>
        <v>Capital Total</v>
      </c>
      <c r="F700" s="20">
        <f>SUM(F691:F699)</f>
        <v>13000000</v>
      </c>
      <c r="G700" s="20">
        <f>SUM(G691:G699)</f>
        <v>7300000</v>
      </c>
      <c r="H700" s="20">
        <f>SUM(H691:H699)</f>
        <v>7560870</v>
      </c>
    </row>
    <row r="701" spans="1:9" x14ac:dyDescent="0.2">
      <c r="E701" s="19" t="s">
        <v>865</v>
      </c>
      <c r="F701" s="93"/>
      <c r="G701" s="93"/>
      <c r="H701" s="93"/>
    </row>
    <row r="702" spans="1:9" x14ac:dyDescent="0.2">
      <c r="C702" s="10" t="s">
        <v>14</v>
      </c>
      <c r="E702" s="10" t="s">
        <v>15</v>
      </c>
      <c r="F702" s="21">
        <v>100000</v>
      </c>
      <c r="G702" s="21">
        <v>100000</v>
      </c>
      <c r="H702" s="21">
        <v>100000</v>
      </c>
    </row>
    <row r="703" spans="1:9" x14ac:dyDescent="0.2">
      <c r="B703" s="10" t="s">
        <v>116</v>
      </c>
      <c r="E703" s="23" t="s">
        <v>17</v>
      </c>
      <c r="F703" s="24">
        <f>SUM(F700:F702)</f>
        <v>13100000</v>
      </c>
      <c r="G703" s="24">
        <f>SUM(G700:G702)</f>
        <v>7400000</v>
      </c>
      <c r="H703" s="24">
        <f>SUM(H700:H702)</f>
        <v>7660870</v>
      </c>
    </row>
    <row r="705" spans="1:9" s="12" customFormat="1" x14ac:dyDescent="0.2">
      <c r="A705" s="91" t="str">
        <f>B711</f>
        <v>WARD 54</v>
      </c>
      <c r="B705" s="91"/>
      <c r="C705" s="91"/>
      <c r="D705" s="99" t="str">
        <f>A705</f>
        <v>WARD 54</v>
      </c>
      <c r="E705" s="99"/>
      <c r="F705" s="99"/>
      <c r="G705" s="99"/>
      <c r="H705" s="99"/>
      <c r="I705" s="99"/>
    </row>
    <row r="706" spans="1:9" s="92" customFormat="1" ht="45" x14ac:dyDescent="0.2">
      <c r="D706" s="34" t="s">
        <v>8</v>
      </c>
      <c r="E706" s="35" t="s">
        <v>9</v>
      </c>
      <c r="F706" s="36" t="s">
        <v>719</v>
      </c>
      <c r="G706" s="36" t="s">
        <v>720</v>
      </c>
      <c r="H706" s="36" t="s">
        <v>721</v>
      </c>
      <c r="I706" s="35" t="s">
        <v>10</v>
      </c>
    </row>
    <row r="707" spans="1:9" s="12" customFormat="1" x14ac:dyDescent="0.2">
      <c r="D707" s="9">
        <v>20170022</v>
      </c>
      <c r="E707" s="10" t="s">
        <v>805</v>
      </c>
      <c r="F707" s="11">
        <v>3500000</v>
      </c>
      <c r="G707" s="11"/>
      <c r="H707" s="11"/>
      <c r="I707" s="85"/>
    </row>
    <row r="708" spans="1:9" s="12" customFormat="1" x14ac:dyDescent="0.2">
      <c r="D708" s="9">
        <v>20170022</v>
      </c>
      <c r="E708" s="10" t="s">
        <v>806</v>
      </c>
      <c r="F708" s="11">
        <v>3500000</v>
      </c>
      <c r="G708" s="11"/>
      <c r="H708" s="11"/>
      <c r="I708" s="85"/>
    </row>
    <row r="709" spans="1:9" s="12" customFormat="1" x14ac:dyDescent="0.2">
      <c r="D709" s="9">
        <v>20200051</v>
      </c>
      <c r="E709" s="10" t="s">
        <v>807</v>
      </c>
      <c r="F709" s="11">
        <v>2000000</v>
      </c>
      <c r="G709" s="11"/>
      <c r="H709" s="11"/>
      <c r="I709" s="85"/>
    </row>
    <row r="710" spans="1:9" s="12" customFormat="1" x14ac:dyDescent="0.2">
      <c r="D710" s="9">
        <v>20210345</v>
      </c>
      <c r="E710" s="10" t="s">
        <v>635</v>
      </c>
      <c r="F710" s="11">
        <v>6956520</v>
      </c>
      <c r="G710" s="11">
        <v>8695650</v>
      </c>
      <c r="H710" s="11">
        <v>4347830</v>
      </c>
      <c r="I710" s="85"/>
    </row>
    <row r="711" spans="1:9" x14ac:dyDescent="0.2">
      <c r="A711" s="10">
        <v>54</v>
      </c>
      <c r="B711" s="10" t="s">
        <v>117</v>
      </c>
      <c r="C711" s="10" t="s">
        <v>12</v>
      </c>
      <c r="D711" s="9">
        <v>20230012</v>
      </c>
      <c r="E711" s="10" t="s">
        <v>280</v>
      </c>
      <c r="F711" s="11">
        <v>1500000</v>
      </c>
      <c r="G711" s="11"/>
      <c r="H711" s="11"/>
    </row>
    <row r="712" spans="1:9" x14ac:dyDescent="0.2">
      <c r="D712" s="9">
        <v>20230276</v>
      </c>
      <c r="E712" s="10" t="s">
        <v>725</v>
      </c>
      <c r="F712" s="11">
        <v>5500000</v>
      </c>
      <c r="G712" s="11"/>
      <c r="H712" s="11"/>
    </row>
    <row r="713" spans="1:9" x14ac:dyDescent="0.2">
      <c r="D713" s="9">
        <v>20240311</v>
      </c>
      <c r="E713" s="10" t="s">
        <v>636</v>
      </c>
      <c r="F713" s="11">
        <v>17391300</v>
      </c>
      <c r="G713" s="11">
        <v>8695650</v>
      </c>
      <c r="H713" s="11">
        <v>4347830</v>
      </c>
    </row>
    <row r="714" spans="1:9" x14ac:dyDescent="0.2">
      <c r="D714" s="9">
        <v>20250130</v>
      </c>
      <c r="E714" s="10" t="s">
        <v>637</v>
      </c>
      <c r="F714" s="11">
        <v>4160350</v>
      </c>
      <c r="G714" s="11"/>
      <c r="H714" s="11"/>
    </row>
    <row r="715" spans="1:9" x14ac:dyDescent="0.2">
      <c r="D715" s="9">
        <v>20250131</v>
      </c>
      <c r="E715" s="10" t="s">
        <v>638</v>
      </c>
      <c r="F715" s="11">
        <v>1560130</v>
      </c>
      <c r="G715" s="11"/>
      <c r="H715" s="11"/>
    </row>
    <row r="716" spans="1:9" x14ac:dyDescent="0.2">
      <c r="D716" s="9">
        <v>20250132</v>
      </c>
      <c r="E716" s="10" t="s">
        <v>639</v>
      </c>
      <c r="F716" s="11">
        <v>1560130</v>
      </c>
      <c r="G716" s="11"/>
      <c r="H716" s="11"/>
    </row>
    <row r="717" spans="1:9" x14ac:dyDescent="0.2">
      <c r="D717" s="9">
        <v>20250133</v>
      </c>
      <c r="E717" s="10" t="s">
        <v>640</v>
      </c>
      <c r="F717" s="11">
        <v>3120260</v>
      </c>
      <c r="G717" s="11"/>
      <c r="H717" s="11"/>
    </row>
    <row r="718" spans="1:9" x14ac:dyDescent="0.2">
      <c r="D718" s="9">
        <v>20250143</v>
      </c>
      <c r="E718" s="10" t="s">
        <v>641</v>
      </c>
      <c r="F718" s="11"/>
      <c r="G718" s="11">
        <v>1113050</v>
      </c>
      <c r="H718" s="11"/>
    </row>
    <row r="719" spans="1:9" x14ac:dyDescent="0.2">
      <c r="D719" s="9">
        <v>20250144</v>
      </c>
      <c r="E719" s="10" t="s">
        <v>642</v>
      </c>
      <c r="F719" s="11"/>
      <c r="G719" s="11">
        <v>417390</v>
      </c>
      <c r="H719" s="11"/>
    </row>
    <row r="720" spans="1:9" x14ac:dyDescent="0.2">
      <c r="D720" s="9">
        <v>20250145</v>
      </c>
      <c r="E720" s="10" t="s">
        <v>643</v>
      </c>
      <c r="F720" s="11"/>
      <c r="G720" s="11">
        <v>417390</v>
      </c>
      <c r="H720" s="11"/>
    </row>
    <row r="721" spans="1:9" x14ac:dyDescent="0.2">
      <c r="D721" s="9">
        <v>20250146</v>
      </c>
      <c r="E721" s="10" t="s">
        <v>644</v>
      </c>
      <c r="F721" s="11"/>
      <c r="G721" s="11">
        <v>834790</v>
      </c>
      <c r="H721" s="11"/>
    </row>
    <row r="722" spans="1:9" x14ac:dyDescent="0.2">
      <c r="D722" s="9">
        <v>20250236</v>
      </c>
      <c r="E722" s="10" t="s">
        <v>645</v>
      </c>
      <c r="F722" s="11">
        <v>17391300</v>
      </c>
      <c r="G722" s="11">
        <v>13043480</v>
      </c>
      <c r="H722" s="11">
        <v>12173910</v>
      </c>
    </row>
    <row r="723" spans="1:9" x14ac:dyDescent="0.2">
      <c r="D723" s="9">
        <v>20250253</v>
      </c>
      <c r="E723" s="10" t="s">
        <v>467</v>
      </c>
      <c r="F723" s="11"/>
      <c r="G723" s="11">
        <v>500000</v>
      </c>
      <c r="H723" s="11">
        <v>1000000</v>
      </c>
    </row>
    <row r="724" spans="1:9" x14ac:dyDescent="0.2">
      <c r="D724" s="9">
        <v>20250254</v>
      </c>
      <c r="E724" s="10" t="s">
        <v>468</v>
      </c>
      <c r="F724" s="11">
        <v>450000</v>
      </c>
      <c r="G724" s="11"/>
      <c r="H724" s="11"/>
    </row>
    <row r="725" spans="1:9" x14ac:dyDescent="0.2">
      <c r="D725" s="9">
        <v>20250270</v>
      </c>
      <c r="E725" s="10" t="s">
        <v>606</v>
      </c>
      <c r="F725" s="11"/>
      <c r="G725" s="11">
        <v>2173910</v>
      </c>
      <c r="H725" s="11"/>
    </row>
    <row r="726" spans="1:9" x14ac:dyDescent="0.2">
      <c r="C726" s="10" t="s">
        <v>13</v>
      </c>
      <c r="E726" s="19" t="str">
        <f>C726</f>
        <v>Capital Total</v>
      </c>
      <c r="F726" s="20">
        <f>SUM(F707:F725)</f>
        <v>68589990</v>
      </c>
      <c r="G726" s="20">
        <f>SUM(G707:G725)</f>
        <v>35891310</v>
      </c>
      <c r="H726" s="20">
        <f>SUM(H707:H725)</f>
        <v>21869570</v>
      </c>
    </row>
    <row r="727" spans="1:9" x14ac:dyDescent="0.2">
      <c r="E727" s="10" t="s">
        <v>823</v>
      </c>
      <c r="F727" s="29">
        <v>37927555</v>
      </c>
      <c r="G727" s="93"/>
      <c r="H727" s="93"/>
    </row>
    <row r="728" spans="1:9" x14ac:dyDescent="0.2">
      <c r="E728" s="10" t="s">
        <v>824</v>
      </c>
      <c r="F728" s="29">
        <v>2000000</v>
      </c>
      <c r="G728" s="93"/>
      <c r="H728" s="93"/>
    </row>
    <row r="729" spans="1:9" x14ac:dyDescent="0.2">
      <c r="C729" s="10" t="s">
        <v>14</v>
      </c>
      <c r="E729" s="10" t="s">
        <v>15</v>
      </c>
      <c r="F729" s="21">
        <v>100000</v>
      </c>
      <c r="G729" s="21">
        <v>100000</v>
      </c>
      <c r="H729" s="21">
        <v>100000</v>
      </c>
    </row>
    <row r="730" spans="1:9" x14ac:dyDescent="0.2">
      <c r="B730" s="10" t="s">
        <v>118</v>
      </c>
      <c r="E730" s="23" t="s">
        <v>17</v>
      </c>
      <c r="F730" s="24">
        <f>SUM(F726:F729)</f>
        <v>108617545</v>
      </c>
      <c r="G730" s="24">
        <f>SUM(G726:G729)</f>
        <v>35991310</v>
      </c>
      <c r="H730" s="24">
        <f>SUM(H726:H729)</f>
        <v>21969570</v>
      </c>
    </row>
    <row r="731" spans="1:9" x14ac:dyDescent="0.2">
      <c r="E731" s="23"/>
      <c r="F731" s="11"/>
      <c r="G731" s="11"/>
      <c r="H731" s="11"/>
    </row>
    <row r="732" spans="1:9" s="12" customFormat="1" x14ac:dyDescent="0.2">
      <c r="A732" s="91" t="e">
        <f>#REF!</f>
        <v>#REF!</v>
      </c>
      <c r="B732" s="91"/>
      <c r="C732" s="91"/>
      <c r="D732" s="99" t="s">
        <v>119</v>
      </c>
      <c r="E732" s="99"/>
      <c r="F732" s="99"/>
      <c r="G732" s="99"/>
      <c r="H732" s="99"/>
      <c r="I732" s="99"/>
    </row>
    <row r="733" spans="1:9" s="92" customFormat="1" ht="45" x14ac:dyDescent="0.2">
      <c r="D733" s="34" t="s">
        <v>8</v>
      </c>
      <c r="E733" s="35" t="s">
        <v>9</v>
      </c>
      <c r="F733" s="36" t="s">
        <v>719</v>
      </c>
      <c r="G733" s="36" t="s">
        <v>720</v>
      </c>
      <c r="H733" s="36" t="s">
        <v>721</v>
      </c>
      <c r="I733" s="35" t="s">
        <v>10</v>
      </c>
    </row>
    <row r="734" spans="1:9" x14ac:dyDescent="0.2">
      <c r="D734" s="9">
        <v>20230276</v>
      </c>
      <c r="E734" s="10" t="s">
        <v>726</v>
      </c>
      <c r="F734" s="11">
        <v>3000000</v>
      </c>
      <c r="G734" s="11"/>
      <c r="H734" s="11"/>
    </row>
    <row r="735" spans="1:9" x14ac:dyDescent="0.2">
      <c r="D735" s="9">
        <v>20190257</v>
      </c>
      <c r="E735" s="10" t="s">
        <v>863</v>
      </c>
      <c r="F735" s="11">
        <v>1000000</v>
      </c>
      <c r="G735" s="11"/>
      <c r="H735" s="11"/>
    </row>
    <row r="736" spans="1:9" x14ac:dyDescent="0.2">
      <c r="C736" s="10" t="s">
        <v>13</v>
      </c>
      <c r="E736" s="19" t="str">
        <f>C736</f>
        <v>Capital Total</v>
      </c>
      <c r="F736" s="20">
        <f>SUM(F734:F735)</f>
        <v>4000000</v>
      </c>
      <c r="G736" s="20">
        <f>SUM(G734:G734)</f>
        <v>0</v>
      </c>
      <c r="H736" s="20">
        <f>SUM(H734:H734)</f>
        <v>0</v>
      </c>
    </row>
    <row r="737" spans="1:9" x14ac:dyDescent="0.2">
      <c r="C737" s="10" t="s">
        <v>14</v>
      </c>
      <c r="E737" s="10" t="s">
        <v>15</v>
      </c>
      <c r="F737" s="21">
        <v>100000</v>
      </c>
      <c r="G737" s="21">
        <v>100000</v>
      </c>
      <c r="H737" s="21">
        <v>100000</v>
      </c>
    </row>
    <row r="738" spans="1:9" x14ac:dyDescent="0.2">
      <c r="B738" s="10" t="s">
        <v>120</v>
      </c>
      <c r="E738" s="23" t="s">
        <v>17</v>
      </c>
      <c r="F738" s="24">
        <f>SUM(F736:F737)</f>
        <v>4100000</v>
      </c>
      <c r="G738" s="24">
        <f t="shared" ref="G738:H738" si="33">SUM(G736:G737)</f>
        <v>100000</v>
      </c>
      <c r="H738" s="24">
        <f t="shared" si="33"/>
        <v>100000</v>
      </c>
    </row>
    <row r="739" spans="1:9" x14ac:dyDescent="0.2">
      <c r="E739" s="23"/>
      <c r="F739" s="11"/>
      <c r="G739" s="11"/>
      <c r="H739" s="11"/>
    </row>
    <row r="740" spans="1:9" s="12" customFormat="1" x14ac:dyDescent="0.2">
      <c r="A740" s="91" t="e">
        <f>#REF!</f>
        <v>#REF!</v>
      </c>
      <c r="B740" s="91"/>
      <c r="C740" s="91"/>
      <c r="D740" s="99" t="s">
        <v>121</v>
      </c>
      <c r="E740" s="99"/>
      <c r="F740" s="99"/>
      <c r="G740" s="99"/>
      <c r="H740" s="99"/>
      <c r="I740" s="99"/>
    </row>
    <row r="741" spans="1:9" s="92" customFormat="1" ht="45" x14ac:dyDescent="0.2">
      <c r="D741" s="34" t="s">
        <v>8</v>
      </c>
      <c r="E741" s="35" t="s">
        <v>9</v>
      </c>
      <c r="F741" s="36" t="s">
        <v>719</v>
      </c>
      <c r="G741" s="36" t="s">
        <v>720</v>
      </c>
      <c r="H741" s="36" t="s">
        <v>721</v>
      </c>
      <c r="I741" s="35" t="s">
        <v>10</v>
      </c>
    </row>
    <row r="742" spans="1:9" x14ac:dyDescent="0.2">
      <c r="D742" s="9">
        <v>20230276</v>
      </c>
      <c r="E742" s="10" t="s">
        <v>727</v>
      </c>
      <c r="F742" s="11">
        <v>1500000</v>
      </c>
      <c r="G742" s="11"/>
      <c r="H742" s="11"/>
    </row>
    <row r="743" spans="1:9" x14ac:dyDescent="0.2">
      <c r="D743" s="9">
        <v>20230277</v>
      </c>
      <c r="E743" s="10" t="s">
        <v>864</v>
      </c>
      <c r="F743" s="11">
        <v>100000</v>
      </c>
      <c r="G743" s="11"/>
      <c r="H743" s="11"/>
    </row>
    <row r="744" spans="1:9" x14ac:dyDescent="0.2">
      <c r="C744" s="10" t="s">
        <v>13</v>
      </c>
      <c r="E744" s="19" t="str">
        <f>C744</f>
        <v>Capital Total</v>
      </c>
      <c r="F744" s="20">
        <f>SUM(F742:F743)</f>
        <v>1600000</v>
      </c>
      <c r="G744" s="20">
        <f>SUM(G742:G743)</f>
        <v>0</v>
      </c>
      <c r="H744" s="20">
        <f>SUM(H742:H743)</f>
        <v>0</v>
      </c>
    </row>
    <row r="745" spans="1:9" x14ac:dyDescent="0.2">
      <c r="C745" s="10" t="s">
        <v>14</v>
      </c>
      <c r="E745" s="10" t="s">
        <v>15</v>
      </c>
      <c r="F745" s="21">
        <v>100000</v>
      </c>
      <c r="G745" s="21">
        <v>100000</v>
      </c>
      <c r="H745" s="21">
        <v>100000</v>
      </c>
    </row>
    <row r="746" spans="1:9" x14ac:dyDescent="0.2">
      <c r="B746" s="10" t="s">
        <v>122</v>
      </c>
      <c r="E746" s="23" t="s">
        <v>17</v>
      </c>
      <c r="F746" s="24">
        <f>SUM(F744:F745)</f>
        <v>1700000</v>
      </c>
      <c r="G746" s="24">
        <f t="shared" ref="G746:H746" si="34">SUM(G744:G745)</f>
        <v>100000</v>
      </c>
      <c r="H746" s="24">
        <f t="shared" si="34"/>
        <v>100000</v>
      </c>
    </row>
    <row r="747" spans="1:9" x14ac:dyDescent="0.2">
      <c r="E747" s="23"/>
      <c r="F747" s="11"/>
      <c r="G747" s="11"/>
      <c r="H747" s="11"/>
    </row>
    <row r="748" spans="1:9" s="12" customFormat="1" x14ac:dyDescent="0.2">
      <c r="A748" s="91" t="e">
        <f>#REF!</f>
        <v>#REF!</v>
      </c>
      <c r="B748" s="91"/>
      <c r="C748" s="91"/>
      <c r="D748" s="99" t="s">
        <v>123</v>
      </c>
      <c r="E748" s="99"/>
      <c r="F748" s="99"/>
      <c r="G748" s="99"/>
      <c r="H748" s="99"/>
      <c r="I748" s="99"/>
    </row>
    <row r="749" spans="1:9" s="92" customFormat="1" ht="45" x14ac:dyDescent="0.2">
      <c r="D749" s="34" t="s">
        <v>8</v>
      </c>
      <c r="E749" s="35" t="s">
        <v>9</v>
      </c>
      <c r="F749" s="36" t="s">
        <v>719</v>
      </c>
      <c r="G749" s="36" t="s">
        <v>720</v>
      </c>
      <c r="H749" s="36" t="s">
        <v>721</v>
      </c>
      <c r="I749" s="35" t="s">
        <v>10</v>
      </c>
    </row>
    <row r="750" spans="1:9" x14ac:dyDescent="0.2">
      <c r="D750" s="9">
        <v>20230255</v>
      </c>
      <c r="E750" s="10" t="s">
        <v>634</v>
      </c>
      <c r="F750" s="11">
        <v>500000</v>
      </c>
      <c r="G750" s="11">
        <v>6136030</v>
      </c>
      <c r="H750" s="11">
        <v>7270610</v>
      </c>
    </row>
    <row r="751" spans="1:9" x14ac:dyDescent="0.2">
      <c r="D751" s="9">
        <v>20210173</v>
      </c>
      <c r="E751" s="10" t="s">
        <v>542</v>
      </c>
      <c r="F751" s="11">
        <v>150000</v>
      </c>
      <c r="G751" s="11"/>
      <c r="H751" s="11"/>
    </row>
    <row r="752" spans="1:9" x14ac:dyDescent="0.2">
      <c r="D752" s="9">
        <v>20230276</v>
      </c>
      <c r="E752" s="10" t="s">
        <v>728</v>
      </c>
      <c r="F752" s="11">
        <v>1500000</v>
      </c>
      <c r="G752" s="11"/>
      <c r="H752" s="11"/>
    </row>
    <row r="753" spans="1:9" x14ac:dyDescent="0.2">
      <c r="C753" s="10" t="s">
        <v>13</v>
      </c>
      <c r="E753" s="19" t="str">
        <f>C753</f>
        <v>Capital Total</v>
      </c>
      <c r="F753" s="20">
        <f>SUM(F750:F752)</f>
        <v>2150000</v>
      </c>
      <c r="G753" s="20">
        <f>SUM(G750:G752)</f>
        <v>6136030</v>
      </c>
      <c r="H753" s="20">
        <f>SUM(H750:H752)</f>
        <v>7270610</v>
      </c>
    </row>
    <row r="754" spans="1:9" x14ac:dyDescent="0.2">
      <c r="C754" s="10" t="s">
        <v>14</v>
      </c>
      <c r="E754" s="10" t="s">
        <v>15</v>
      </c>
      <c r="F754" s="21">
        <v>100000</v>
      </c>
      <c r="G754" s="21">
        <v>100000</v>
      </c>
      <c r="H754" s="21">
        <v>100000</v>
      </c>
    </row>
    <row r="755" spans="1:9" x14ac:dyDescent="0.2">
      <c r="B755" s="10" t="s">
        <v>124</v>
      </c>
      <c r="E755" s="23" t="s">
        <v>17</v>
      </c>
      <c r="F755" s="24">
        <f>SUM(F753:F754)</f>
        <v>2250000</v>
      </c>
      <c r="G755" s="24">
        <f t="shared" ref="G755:H755" si="35">SUM(G753:G754)</f>
        <v>6236030</v>
      </c>
      <c r="H755" s="24">
        <f t="shared" si="35"/>
        <v>7370610</v>
      </c>
    </row>
    <row r="756" spans="1:9" x14ac:dyDescent="0.2">
      <c r="F756" s="11"/>
      <c r="G756" s="11"/>
      <c r="H756" s="11"/>
    </row>
    <row r="757" spans="1:9" s="12" customFormat="1" x14ac:dyDescent="0.2">
      <c r="A757" s="91" t="str">
        <f>B759</f>
        <v>WARD 58</v>
      </c>
      <c r="B757" s="91"/>
      <c r="C757" s="91"/>
      <c r="D757" s="99" t="str">
        <f>A757</f>
        <v>WARD 58</v>
      </c>
      <c r="E757" s="99"/>
      <c r="F757" s="99"/>
      <c r="G757" s="99"/>
      <c r="H757" s="99"/>
      <c r="I757" s="99"/>
    </row>
    <row r="758" spans="1:9" s="92" customFormat="1" ht="45" x14ac:dyDescent="0.2">
      <c r="D758" s="34" t="s">
        <v>8</v>
      </c>
      <c r="E758" s="35" t="s">
        <v>9</v>
      </c>
      <c r="F758" s="36" t="s">
        <v>719</v>
      </c>
      <c r="G758" s="36" t="s">
        <v>720</v>
      </c>
      <c r="H758" s="36" t="s">
        <v>721</v>
      </c>
      <c r="I758" s="35" t="s">
        <v>10</v>
      </c>
    </row>
    <row r="759" spans="1:9" x14ac:dyDescent="0.2">
      <c r="A759" s="10">
        <v>58</v>
      </c>
      <c r="B759" s="10" t="s">
        <v>125</v>
      </c>
      <c r="C759" s="10" t="s">
        <v>12</v>
      </c>
      <c r="D759" s="9">
        <v>20220099</v>
      </c>
      <c r="E759" s="10" t="s">
        <v>633</v>
      </c>
      <c r="F759" s="11">
        <v>1000000</v>
      </c>
    </row>
    <row r="760" spans="1:9" x14ac:dyDescent="0.2">
      <c r="D760" s="9">
        <v>20170022</v>
      </c>
      <c r="E760" s="10" t="s">
        <v>808</v>
      </c>
      <c r="F760" s="8">
        <v>2600000</v>
      </c>
    </row>
    <row r="761" spans="1:9" x14ac:dyDescent="0.2">
      <c r="D761" s="9">
        <v>20230276</v>
      </c>
      <c r="E761" s="10" t="s">
        <v>729</v>
      </c>
      <c r="F761" s="8">
        <v>1300000</v>
      </c>
    </row>
    <row r="762" spans="1:9" x14ac:dyDescent="0.2">
      <c r="F762" s="11"/>
      <c r="G762" s="11"/>
      <c r="H762" s="11"/>
    </row>
    <row r="763" spans="1:9" x14ac:dyDescent="0.2">
      <c r="C763" s="10" t="s">
        <v>13</v>
      </c>
      <c r="E763" s="19" t="str">
        <f>C763</f>
        <v>Capital Total</v>
      </c>
      <c r="F763" s="20">
        <f>SUM(F759:F762)</f>
        <v>4900000</v>
      </c>
      <c r="G763" s="20">
        <f>SUM(G759:G762)</f>
        <v>0</v>
      </c>
      <c r="H763" s="20">
        <f>SUM(H759:H762)</f>
        <v>0</v>
      </c>
    </row>
    <row r="764" spans="1:9" x14ac:dyDescent="0.2">
      <c r="C764" s="10" t="s">
        <v>14</v>
      </c>
      <c r="E764" s="10" t="s">
        <v>15</v>
      </c>
      <c r="F764" s="21">
        <v>100000</v>
      </c>
      <c r="G764" s="21">
        <v>100000</v>
      </c>
      <c r="H764" s="21">
        <v>100000</v>
      </c>
    </row>
    <row r="765" spans="1:9" x14ac:dyDescent="0.2">
      <c r="B765" s="10" t="s">
        <v>126</v>
      </c>
      <c r="E765" s="23" t="s">
        <v>17</v>
      </c>
      <c r="F765" s="24">
        <f>SUM(F763:F764)</f>
        <v>5000000</v>
      </c>
      <c r="G765" s="24">
        <f>SUM(G763:G764)</f>
        <v>100000</v>
      </c>
      <c r="H765" s="24">
        <f>SUM(H763:H764)</f>
        <v>100000</v>
      </c>
    </row>
    <row r="766" spans="1:9" x14ac:dyDescent="0.2">
      <c r="E766" s="23"/>
      <c r="F766" s="11"/>
      <c r="G766" s="11"/>
      <c r="H766" s="11"/>
    </row>
    <row r="767" spans="1:9" s="12" customFormat="1" x14ac:dyDescent="0.2">
      <c r="A767" s="91" t="str">
        <f>B769</f>
        <v>WARD 59</v>
      </c>
      <c r="B767" s="91"/>
      <c r="C767" s="91"/>
      <c r="D767" s="99" t="str">
        <f>A767</f>
        <v>WARD 59</v>
      </c>
      <c r="E767" s="99"/>
      <c r="F767" s="99"/>
      <c r="G767" s="99"/>
      <c r="H767" s="99"/>
      <c r="I767" s="99"/>
    </row>
    <row r="768" spans="1:9" s="92" customFormat="1" ht="45" x14ac:dyDescent="0.2">
      <c r="D768" s="34" t="s">
        <v>8</v>
      </c>
      <c r="E768" s="35" t="s">
        <v>9</v>
      </c>
      <c r="F768" s="36" t="s">
        <v>719</v>
      </c>
      <c r="G768" s="36" t="s">
        <v>720</v>
      </c>
      <c r="H768" s="36" t="s">
        <v>721</v>
      </c>
      <c r="I768" s="35" t="s">
        <v>10</v>
      </c>
    </row>
    <row r="769" spans="1:9" x14ac:dyDescent="0.2">
      <c r="A769" s="10">
        <v>58</v>
      </c>
      <c r="B769" s="10" t="s">
        <v>127</v>
      </c>
      <c r="C769" s="10" t="s">
        <v>12</v>
      </c>
      <c r="D769" s="9">
        <v>20230276</v>
      </c>
      <c r="E769" s="10" t="s">
        <v>730</v>
      </c>
      <c r="F769" s="11">
        <v>1330000</v>
      </c>
      <c r="G769" s="11"/>
      <c r="H769" s="11"/>
    </row>
    <row r="770" spans="1:9" x14ac:dyDescent="0.2">
      <c r="D770" s="9">
        <v>20210244</v>
      </c>
      <c r="E770" s="10" t="s">
        <v>866</v>
      </c>
      <c r="F770" s="11">
        <f>100000</f>
        <v>100000</v>
      </c>
      <c r="G770" s="11"/>
      <c r="H770" s="11"/>
    </row>
    <row r="771" spans="1:9" s="12" customFormat="1" x14ac:dyDescent="0.2">
      <c r="D771" s="9">
        <v>20200051</v>
      </c>
      <c r="E771" s="10" t="s">
        <v>809</v>
      </c>
      <c r="F771" s="11">
        <v>2000000</v>
      </c>
      <c r="G771" s="11"/>
      <c r="H771" s="11"/>
      <c r="I771" s="85"/>
    </row>
    <row r="772" spans="1:9" x14ac:dyDescent="0.2">
      <c r="D772" s="27"/>
      <c r="E772" s="28"/>
      <c r="F772" s="11"/>
      <c r="G772" s="11"/>
      <c r="H772" s="11"/>
    </row>
    <row r="773" spans="1:9" x14ac:dyDescent="0.2">
      <c r="C773" s="10" t="s">
        <v>13</v>
      </c>
      <c r="E773" s="19" t="str">
        <f>C773</f>
        <v>Capital Total</v>
      </c>
      <c r="F773" s="20">
        <f>SUM(F769:F772)</f>
        <v>3430000</v>
      </c>
      <c r="G773" s="20">
        <f>SUM(G769:G772)</f>
        <v>0</v>
      </c>
      <c r="H773" s="20">
        <f>SUM(H769:H772)</f>
        <v>0</v>
      </c>
    </row>
    <row r="774" spans="1:9" x14ac:dyDescent="0.2">
      <c r="C774" s="10" t="s">
        <v>14</v>
      </c>
      <c r="E774" s="10" t="s">
        <v>15</v>
      </c>
      <c r="F774" s="21">
        <v>100000</v>
      </c>
      <c r="G774" s="21">
        <v>100000</v>
      </c>
      <c r="H774" s="21">
        <v>100000</v>
      </c>
    </row>
    <row r="775" spans="1:9" x14ac:dyDescent="0.2">
      <c r="B775" s="10" t="s">
        <v>128</v>
      </c>
      <c r="E775" s="23" t="s">
        <v>17</v>
      </c>
      <c r="F775" s="24">
        <f>SUM(F773:F774)</f>
        <v>3530000</v>
      </c>
      <c r="G775" s="24">
        <f>SUM(G773:G774)</f>
        <v>100000</v>
      </c>
      <c r="H775" s="24">
        <f>SUM(H773:H774)</f>
        <v>100000</v>
      </c>
    </row>
    <row r="776" spans="1:9" x14ac:dyDescent="0.2">
      <c r="E776" s="23"/>
      <c r="F776" s="11"/>
      <c r="G776" s="11"/>
      <c r="H776" s="11"/>
    </row>
    <row r="777" spans="1:9" s="12" customFormat="1" x14ac:dyDescent="0.2">
      <c r="A777" s="91">
        <f>B779</f>
        <v>0</v>
      </c>
      <c r="B777" s="91"/>
      <c r="C777" s="91"/>
      <c r="D777" s="99" t="s">
        <v>129</v>
      </c>
      <c r="E777" s="99"/>
      <c r="F777" s="99"/>
      <c r="G777" s="99"/>
      <c r="H777" s="99"/>
      <c r="I777" s="99"/>
    </row>
    <row r="778" spans="1:9" s="92" customFormat="1" ht="45" x14ac:dyDescent="0.2">
      <c r="D778" s="34" t="s">
        <v>8</v>
      </c>
      <c r="E778" s="35" t="s">
        <v>9</v>
      </c>
      <c r="F778" s="36" t="s">
        <v>719</v>
      </c>
      <c r="G778" s="36" t="s">
        <v>720</v>
      </c>
      <c r="H778" s="36" t="s">
        <v>721</v>
      </c>
      <c r="I778" s="35" t="s">
        <v>10</v>
      </c>
    </row>
    <row r="779" spans="1:9" x14ac:dyDescent="0.2">
      <c r="D779" s="9">
        <v>20190153</v>
      </c>
      <c r="E779" s="10" t="s">
        <v>627</v>
      </c>
      <c r="F779" s="11"/>
      <c r="G779" s="11">
        <v>600000</v>
      </c>
      <c r="H779" s="11">
        <v>600000</v>
      </c>
    </row>
    <row r="780" spans="1:9" x14ac:dyDescent="0.2">
      <c r="A780" s="10">
        <v>60</v>
      </c>
      <c r="B780" s="10" t="s">
        <v>129</v>
      </c>
      <c r="C780" s="10" t="s">
        <v>12</v>
      </c>
      <c r="D780" s="9">
        <v>20200051</v>
      </c>
      <c r="E780" s="10" t="s">
        <v>810</v>
      </c>
      <c r="F780" s="11">
        <v>4000000</v>
      </c>
      <c r="G780" s="11"/>
      <c r="H780" s="11"/>
    </row>
    <row r="781" spans="1:9" x14ac:dyDescent="0.2">
      <c r="D781" s="9">
        <v>20170022</v>
      </c>
      <c r="E781" s="10" t="s">
        <v>811</v>
      </c>
      <c r="F781" s="8">
        <v>4721740</v>
      </c>
    </row>
    <row r="782" spans="1:9" x14ac:dyDescent="0.2">
      <c r="D782" s="9">
        <v>20200064</v>
      </c>
      <c r="E782" s="10" t="s">
        <v>628</v>
      </c>
      <c r="F782" s="11">
        <v>500000</v>
      </c>
      <c r="G782" s="11">
        <v>500000</v>
      </c>
      <c r="H782" s="11">
        <v>500000</v>
      </c>
    </row>
    <row r="783" spans="1:9" x14ac:dyDescent="0.2">
      <c r="D783" s="9">
        <v>20200115</v>
      </c>
      <c r="E783" s="10" t="s">
        <v>629</v>
      </c>
      <c r="F783" s="11">
        <f>1000000+2000000</f>
        <v>3000000</v>
      </c>
      <c r="G783" s="11">
        <v>1000000</v>
      </c>
      <c r="H783" s="11">
        <v>1000000</v>
      </c>
    </row>
    <row r="784" spans="1:9" x14ac:dyDescent="0.2">
      <c r="D784" s="9">
        <v>20220108</v>
      </c>
      <c r="E784" s="10" t="s">
        <v>630</v>
      </c>
      <c r="F784" s="11">
        <v>1000000</v>
      </c>
      <c r="G784" s="11"/>
      <c r="H784" s="11"/>
    </row>
    <row r="785" spans="1:9" x14ac:dyDescent="0.2">
      <c r="D785" s="9">
        <v>20230265</v>
      </c>
      <c r="E785" s="10" t="s">
        <v>631</v>
      </c>
      <c r="F785" s="11">
        <v>2000000</v>
      </c>
      <c r="G785" s="11">
        <v>2000000</v>
      </c>
      <c r="H785" s="11">
        <v>2000000</v>
      </c>
    </row>
    <row r="786" spans="1:9" x14ac:dyDescent="0.2">
      <c r="D786" s="9">
        <v>20230276</v>
      </c>
      <c r="E786" s="10" t="s">
        <v>723</v>
      </c>
      <c r="F786" s="11">
        <v>4250000</v>
      </c>
      <c r="G786" s="11"/>
      <c r="H786" s="11"/>
    </row>
    <row r="787" spans="1:9" x14ac:dyDescent="0.2">
      <c r="D787" s="9">
        <v>20240235</v>
      </c>
      <c r="E787" s="10" t="s">
        <v>449</v>
      </c>
      <c r="F787" s="11">
        <v>1000000</v>
      </c>
      <c r="G787" s="11"/>
      <c r="H787" s="11"/>
    </row>
    <row r="788" spans="1:9" s="12" customFormat="1" x14ac:dyDescent="0.2">
      <c r="D788" s="9">
        <v>20240237</v>
      </c>
      <c r="E788" s="10" t="s">
        <v>450</v>
      </c>
      <c r="F788" s="11">
        <v>200000</v>
      </c>
      <c r="G788" s="11"/>
      <c r="H788" s="11"/>
      <c r="I788" s="85"/>
    </row>
    <row r="789" spans="1:9" x14ac:dyDescent="0.2">
      <c r="D789" s="9">
        <v>20240239</v>
      </c>
      <c r="E789" s="10" t="s">
        <v>632</v>
      </c>
      <c r="F789" s="11">
        <v>8000000</v>
      </c>
      <c r="G789" s="11"/>
      <c r="H789" s="11"/>
    </row>
    <row r="790" spans="1:9" x14ac:dyDescent="0.2">
      <c r="D790" s="9">
        <v>20250295</v>
      </c>
      <c r="E790" s="10" t="s">
        <v>521</v>
      </c>
      <c r="F790" s="11"/>
      <c r="G790" s="11">
        <v>5652170</v>
      </c>
      <c r="H790" s="11"/>
    </row>
    <row r="791" spans="1:9" x14ac:dyDescent="0.2">
      <c r="D791" s="9">
        <v>20230256</v>
      </c>
      <c r="E791" s="10" t="s">
        <v>556</v>
      </c>
      <c r="F791" s="11">
        <v>1500000</v>
      </c>
      <c r="G791" s="11"/>
      <c r="H791" s="11"/>
    </row>
    <row r="792" spans="1:9" x14ac:dyDescent="0.2">
      <c r="C792" s="10" t="s">
        <v>13</v>
      </c>
      <c r="E792" s="19" t="str">
        <f>C792</f>
        <v>Capital Total</v>
      </c>
      <c r="F792" s="20">
        <f>SUM(F779:F791)</f>
        <v>30171740</v>
      </c>
      <c r="G792" s="20">
        <f>SUM(G779:G791)</f>
        <v>9752170</v>
      </c>
      <c r="H792" s="20">
        <f>SUM(H779:H791)</f>
        <v>4100000</v>
      </c>
    </row>
    <row r="793" spans="1:9" x14ac:dyDescent="0.2">
      <c r="E793" s="10" t="s">
        <v>867</v>
      </c>
      <c r="F793" s="93"/>
      <c r="G793" s="93"/>
      <c r="H793" s="93"/>
    </row>
    <row r="794" spans="1:9" x14ac:dyDescent="0.2">
      <c r="C794" s="10" t="s">
        <v>14</v>
      </c>
      <c r="E794" s="10" t="s">
        <v>15</v>
      </c>
      <c r="F794" s="21">
        <v>100000</v>
      </c>
      <c r="G794" s="21">
        <v>100000</v>
      </c>
      <c r="H794" s="21">
        <v>100000</v>
      </c>
    </row>
    <row r="795" spans="1:9" x14ac:dyDescent="0.2">
      <c r="B795" s="10" t="s">
        <v>130</v>
      </c>
      <c r="E795" s="23" t="s">
        <v>17</v>
      </c>
      <c r="F795" s="24">
        <f>SUM(F792:F794)</f>
        <v>30271740</v>
      </c>
      <c r="G795" s="24">
        <f>SUM(G792:G794)</f>
        <v>9852170</v>
      </c>
      <c r="H795" s="24">
        <f>SUM(H792:H794)</f>
        <v>4200000</v>
      </c>
    </row>
    <row r="796" spans="1:9" x14ac:dyDescent="0.2">
      <c r="E796" s="23"/>
      <c r="F796" s="11"/>
      <c r="G796" s="11"/>
      <c r="H796" s="11"/>
    </row>
    <row r="797" spans="1:9" s="12" customFormat="1" x14ac:dyDescent="0.2">
      <c r="A797" s="91" t="str">
        <f>B799</f>
        <v>WARD 990</v>
      </c>
      <c r="B797" s="91"/>
      <c r="C797" s="91"/>
      <c r="D797" s="99" t="str">
        <f>A797</f>
        <v>WARD 990</v>
      </c>
      <c r="E797" s="99"/>
      <c r="F797" s="99"/>
      <c r="G797" s="99"/>
      <c r="H797" s="99"/>
      <c r="I797" s="99"/>
    </row>
    <row r="798" spans="1:9" s="92" customFormat="1" ht="45" x14ac:dyDescent="0.2">
      <c r="D798" s="34" t="s">
        <v>8</v>
      </c>
      <c r="E798" s="35" t="s">
        <v>9</v>
      </c>
      <c r="F798" s="36" t="s">
        <v>719</v>
      </c>
      <c r="G798" s="36" t="s">
        <v>720</v>
      </c>
      <c r="H798" s="36" t="s">
        <v>721</v>
      </c>
      <c r="I798" s="35" t="s">
        <v>10</v>
      </c>
    </row>
    <row r="799" spans="1:9" x14ac:dyDescent="0.2">
      <c r="A799" s="10">
        <v>990</v>
      </c>
      <c r="B799" s="10" t="s">
        <v>131</v>
      </c>
      <c r="C799" s="10" t="s">
        <v>12</v>
      </c>
      <c r="D799" s="9">
        <v>20070209</v>
      </c>
      <c r="E799" s="10" t="s">
        <v>894</v>
      </c>
      <c r="F799" s="11">
        <v>2000000</v>
      </c>
      <c r="G799" s="11">
        <v>1000000</v>
      </c>
      <c r="H799" s="11">
        <v>1000000</v>
      </c>
    </row>
    <row r="800" spans="1:9" x14ac:dyDescent="0.2">
      <c r="D800" s="9">
        <v>20150028</v>
      </c>
      <c r="E800" s="10" t="s">
        <v>895</v>
      </c>
      <c r="F800" s="11">
        <v>8500000</v>
      </c>
      <c r="G800" s="11">
        <v>8500000</v>
      </c>
      <c r="H800" s="11">
        <v>10500000</v>
      </c>
    </row>
    <row r="801" spans="4:8" x14ac:dyDescent="0.2">
      <c r="D801" s="9">
        <v>20170022</v>
      </c>
      <c r="E801" s="10" t="s">
        <v>177</v>
      </c>
      <c r="F801" s="11">
        <f>40521740-2200000-6000000-2800000-3000000-3000000-6000000-3200000-3500000-3500000-2600000-4721740</f>
        <v>0</v>
      </c>
      <c r="G801" s="11">
        <v>32782610</v>
      </c>
      <c r="H801" s="11">
        <v>25739130</v>
      </c>
    </row>
    <row r="802" spans="4:8" x14ac:dyDescent="0.2">
      <c r="D802" s="9">
        <v>20200137</v>
      </c>
      <c r="E802" s="10" t="s">
        <v>896</v>
      </c>
      <c r="F802" s="11">
        <v>4000000</v>
      </c>
      <c r="G802" s="11">
        <v>4000000</v>
      </c>
      <c r="H802" s="11">
        <v>4000000</v>
      </c>
    </row>
    <row r="803" spans="4:8" x14ac:dyDescent="0.2">
      <c r="D803" s="9">
        <v>20200188</v>
      </c>
      <c r="E803" s="10" t="s">
        <v>818</v>
      </c>
      <c r="F803" s="11">
        <f>15000000-2925000-3825000-5520000</f>
        <v>2730000</v>
      </c>
      <c r="G803" s="11">
        <v>15000000</v>
      </c>
      <c r="H803" s="11">
        <v>15000000</v>
      </c>
    </row>
    <row r="804" spans="4:8" x14ac:dyDescent="0.2">
      <c r="D804" s="9">
        <v>20200203</v>
      </c>
      <c r="E804" s="10" t="s">
        <v>897</v>
      </c>
      <c r="F804" s="11">
        <v>3000000</v>
      </c>
      <c r="G804" s="11">
        <v>6000000</v>
      </c>
      <c r="H804" s="11">
        <v>3000000</v>
      </c>
    </row>
    <row r="805" spans="4:8" x14ac:dyDescent="0.2">
      <c r="D805" s="9">
        <v>20200207</v>
      </c>
      <c r="E805" s="10" t="s">
        <v>898</v>
      </c>
      <c r="F805" s="11">
        <v>25000000</v>
      </c>
      <c r="G805" s="11">
        <v>25000000</v>
      </c>
      <c r="H805" s="11">
        <v>25000000</v>
      </c>
    </row>
    <row r="806" spans="4:8" x14ac:dyDescent="0.2">
      <c r="D806" s="9">
        <v>20200209</v>
      </c>
      <c r="E806" s="10" t="s">
        <v>899</v>
      </c>
      <c r="F806" s="11">
        <v>5000000</v>
      </c>
      <c r="G806" s="11">
        <v>5000000</v>
      </c>
      <c r="H806" s="11">
        <v>5000000</v>
      </c>
    </row>
    <row r="807" spans="4:8" x14ac:dyDescent="0.2">
      <c r="D807" s="9">
        <v>20200330</v>
      </c>
      <c r="E807" s="10" t="s">
        <v>900</v>
      </c>
      <c r="F807" s="11">
        <v>3000000</v>
      </c>
      <c r="G807" s="11">
        <v>3000000</v>
      </c>
      <c r="H807" s="11">
        <v>3000000</v>
      </c>
    </row>
    <row r="808" spans="4:8" x14ac:dyDescent="0.2">
      <c r="D808" s="9">
        <v>20200338</v>
      </c>
      <c r="E808" s="10" t="s">
        <v>817</v>
      </c>
      <c r="F808" s="11">
        <v>10178250</v>
      </c>
      <c r="G808" s="11">
        <v>8104090</v>
      </c>
      <c r="H808" s="11">
        <v>15000000</v>
      </c>
    </row>
    <row r="809" spans="4:8" x14ac:dyDescent="0.2">
      <c r="D809" s="9">
        <v>20200339</v>
      </c>
      <c r="E809" s="10" t="s">
        <v>901</v>
      </c>
      <c r="F809" s="11">
        <v>13000000</v>
      </c>
      <c r="G809" s="11">
        <v>13000000</v>
      </c>
      <c r="H809" s="11">
        <v>13000000</v>
      </c>
    </row>
    <row r="810" spans="4:8" x14ac:dyDescent="0.2">
      <c r="D810" s="9">
        <v>20210092</v>
      </c>
      <c r="E810" s="10" t="s">
        <v>178</v>
      </c>
      <c r="F810" s="11">
        <v>10000000</v>
      </c>
      <c r="G810" s="11">
        <v>7786060</v>
      </c>
      <c r="H810" s="11">
        <v>11690230</v>
      </c>
    </row>
    <row r="811" spans="4:8" x14ac:dyDescent="0.2">
      <c r="D811" s="9">
        <v>20210094</v>
      </c>
      <c r="E811" s="10" t="s">
        <v>902</v>
      </c>
      <c r="F811" s="11">
        <v>2000000</v>
      </c>
      <c r="G811" s="11">
        <v>2100000</v>
      </c>
      <c r="H811" s="11">
        <v>1000000</v>
      </c>
    </row>
    <row r="812" spans="4:8" x14ac:dyDescent="0.2">
      <c r="D812" s="9">
        <v>20210372</v>
      </c>
      <c r="E812" s="10" t="s">
        <v>903</v>
      </c>
      <c r="F812" s="11">
        <v>5660870</v>
      </c>
      <c r="G812" s="11">
        <v>6873840</v>
      </c>
      <c r="H812" s="11">
        <v>7278260</v>
      </c>
    </row>
    <row r="813" spans="4:8" x14ac:dyDescent="0.2">
      <c r="D813" s="9">
        <v>20240169</v>
      </c>
      <c r="E813" s="10" t="s">
        <v>904</v>
      </c>
      <c r="F813" s="11">
        <v>100000</v>
      </c>
      <c r="G813" s="11">
        <v>500000</v>
      </c>
      <c r="H813" s="11">
        <v>500000</v>
      </c>
    </row>
    <row r="814" spans="4:8" x14ac:dyDescent="0.2">
      <c r="D814" s="9">
        <v>20240172</v>
      </c>
      <c r="E814" s="10" t="s">
        <v>905</v>
      </c>
      <c r="F814" s="11">
        <f>1300000+5000000</f>
        <v>6300000</v>
      </c>
      <c r="G814" s="11">
        <v>1300000</v>
      </c>
      <c r="H814" s="11">
        <v>1300000</v>
      </c>
    </row>
    <row r="815" spans="4:8" x14ac:dyDescent="0.2">
      <c r="D815" s="9">
        <v>20250224</v>
      </c>
      <c r="E815" s="10" t="s">
        <v>906</v>
      </c>
      <c r="F815" s="11"/>
      <c r="G815" s="11"/>
      <c r="H815" s="11">
        <v>5000000</v>
      </c>
    </row>
    <row r="816" spans="4:8" x14ac:dyDescent="0.2">
      <c r="D816" s="9">
        <v>20250225</v>
      </c>
      <c r="E816" s="10" t="s">
        <v>907</v>
      </c>
      <c r="F816" s="11"/>
      <c r="G816" s="11"/>
      <c r="H816" s="11">
        <v>4000000</v>
      </c>
    </row>
    <row r="818" spans="1:9" x14ac:dyDescent="0.2">
      <c r="C818" s="10" t="s">
        <v>13</v>
      </c>
      <c r="E818" s="10" t="str">
        <f>C818</f>
        <v>Capital Total</v>
      </c>
      <c r="F818" s="20">
        <f>SUM(F799:F817)</f>
        <v>100469120</v>
      </c>
      <c r="G818" s="20">
        <f>SUM(G799:G817)</f>
        <v>139946600</v>
      </c>
      <c r="H818" s="20">
        <f>SUM(H799:H817)</f>
        <v>151007620</v>
      </c>
    </row>
    <row r="820" spans="1:9" s="12" customFormat="1" x14ac:dyDescent="0.2">
      <c r="A820" s="91" t="str">
        <f>B822</f>
        <v>WARD 991</v>
      </c>
      <c r="B820" s="91"/>
      <c r="C820" s="91"/>
      <c r="D820" s="99" t="str">
        <f>A820</f>
        <v>WARD 991</v>
      </c>
      <c r="E820" s="99"/>
      <c r="F820" s="99"/>
      <c r="G820" s="99"/>
      <c r="H820" s="99"/>
      <c r="I820" s="99"/>
    </row>
    <row r="821" spans="1:9" s="92" customFormat="1" ht="45" x14ac:dyDescent="0.2">
      <c r="D821" s="34" t="s">
        <v>8</v>
      </c>
      <c r="E821" s="35" t="s">
        <v>9</v>
      </c>
      <c r="F821" s="36" t="s">
        <v>719</v>
      </c>
      <c r="G821" s="36" t="s">
        <v>720</v>
      </c>
      <c r="H821" s="36" t="s">
        <v>721</v>
      </c>
      <c r="I821" s="35" t="s">
        <v>10</v>
      </c>
    </row>
    <row r="822" spans="1:9" x14ac:dyDescent="0.2">
      <c r="A822" s="10">
        <v>991</v>
      </c>
      <c r="B822" s="10" t="s">
        <v>132</v>
      </c>
      <c r="C822" s="10" t="s">
        <v>12</v>
      </c>
      <c r="D822" s="9">
        <v>20080094</v>
      </c>
      <c r="E822" s="10" t="s">
        <v>179</v>
      </c>
      <c r="F822" s="11">
        <v>2000000</v>
      </c>
      <c r="G822" s="11">
        <v>2500000</v>
      </c>
      <c r="H822" s="11">
        <v>2500000</v>
      </c>
    </row>
    <row r="823" spans="1:9" x14ac:dyDescent="0.2">
      <c r="D823" s="9">
        <v>20182414</v>
      </c>
      <c r="E823" s="10" t="s">
        <v>180</v>
      </c>
      <c r="F823" s="11">
        <v>500000</v>
      </c>
      <c r="G823" s="11">
        <v>500000</v>
      </c>
      <c r="H823" s="11">
        <v>500000</v>
      </c>
    </row>
    <row r="824" spans="1:9" x14ac:dyDescent="0.2">
      <c r="D824" s="9">
        <v>20182415</v>
      </c>
      <c r="E824" s="10" t="s">
        <v>181</v>
      </c>
      <c r="F824" s="11">
        <v>5000000</v>
      </c>
      <c r="G824" s="11">
        <f>5000000-1000000</f>
        <v>4000000</v>
      </c>
      <c r="H824" s="11">
        <f>5000000-1000000</f>
        <v>4000000</v>
      </c>
    </row>
    <row r="825" spans="1:9" x14ac:dyDescent="0.2">
      <c r="D825" s="9">
        <v>20190104</v>
      </c>
      <c r="E825" s="10" t="s">
        <v>182</v>
      </c>
      <c r="F825" s="11">
        <v>5000000</v>
      </c>
      <c r="G825" s="11">
        <v>5000000</v>
      </c>
      <c r="H825" s="11">
        <v>5000000</v>
      </c>
    </row>
    <row r="826" spans="1:9" x14ac:dyDescent="0.2">
      <c r="D826" s="9">
        <v>20190163</v>
      </c>
      <c r="E826" s="10" t="s">
        <v>183</v>
      </c>
      <c r="F826" s="11">
        <f>12000000+196250</f>
        <v>12196250</v>
      </c>
      <c r="G826" s="11">
        <v>12000000</v>
      </c>
      <c r="H826" s="11">
        <v>12000000</v>
      </c>
    </row>
    <row r="827" spans="1:9" x14ac:dyDescent="0.2">
      <c r="D827" s="9">
        <v>20190235</v>
      </c>
      <c r="E827" s="10" t="s">
        <v>184</v>
      </c>
      <c r="F827" s="11">
        <f>20000000-500000</f>
        <v>19500000</v>
      </c>
      <c r="G827" s="11">
        <f>15000000+5000000</f>
        <v>20000000</v>
      </c>
      <c r="H827" s="11">
        <f>13299500+7000000</f>
        <v>20299500</v>
      </c>
    </row>
    <row r="828" spans="1:9" x14ac:dyDescent="0.2">
      <c r="D828" s="9">
        <v>20190237</v>
      </c>
      <c r="E828" s="10" t="s">
        <v>185</v>
      </c>
      <c r="F828" s="11">
        <v>3000000</v>
      </c>
      <c r="G828" s="11">
        <v>4500000</v>
      </c>
      <c r="H828" s="11">
        <v>4500000</v>
      </c>
    </row>
    <row r="829" spans="1:9" x14ac:dyDescent="0.2">
      <c r="D829" s="9">
        <v>20190238</v>
      </c>
      <c r="E829" s="10" t="s">
        <v>186</v>
      </c>
      <c r="F829" s="11">
        <v>4500000</v>
      </c>
      <c r="G829" s="11">
        <v>4500000</v>
      </c>
      <c r="H829" s="11">
        <v>3500000</v>
      </c>
    </row>
    <row r="830" spans="1:9" x14ac:dyDescent="0.2">
      <c r="D830" s="9">
        <v>20190239</v>
      </c>
      <c r="E830" s="10" t="s">
        <v>187</v>
      </c>
      <c r="F830" s="11">
        <v>14000000</v>
      </c>
      <c r="G830" s="11">
        <v>7000000</v>
      </c>
      <c r="H830" s="11">
        <v>8000000</v>
      </c>
    </row>
    <row r="831" spans="1:9" x14ac:dyDescent="0.2">
      <c r="D831" s="9">
        <v>20190241</v>
      </c>
      <c r="E831" s="10" t="s">
        <v>188</v>
      </c>
      <c r="F831" s="11">
        <v>6000000</v>
      </c>
      <c r="G831" s="11">
        <f>7000000-1000000</f>
        <v>6000000</v>
      </c>
      <c r="H831" s="11">
        <f>7000000-1000000</f>
        <v>6000000</v>
      </c>
    </row>
    <row r="832" spans="1:9" x14ac:dyDescent="0.2">
      <c r="D832" s="9">
        <v>20190242</v>
      </c>
      <c r="E832" s="10" t="s">
        <v>189</v>
      </c>
      <c r="F832" s="11">
        <v>3000000</v>
      </c>
      <c r="G832" s="11">
        <v>3500000</v>
      </c>
      <c r="H832" s="11">
        <v>3500000</v>
      </c>
    </row>
    <row r="833" spans="4:8" x14ac:dyDescent="0.2">
      <c r="D833" s="9">
        <v>20200008</v>
      </c>
      <c r="E833" s="10" t="s">
        <v>190</v>
      </c>
      <c r="F833" s="11">
        <v>3500000</v>
      </c>
      <c r="G833" s="11">
        <v>4000000</v>
      </c>
      <c r="H833" s="11">
        <v>4000000</v>
      </c>
    </row>
    <row r="834" spans="4:8" x14ac:dyDescent="0.2">
      <c r="D834" s="9">
        <v>20200143</v>
      </c>
      <c r="E834" s="10" t="s">
        <v>191</v>
      </c>
      <c r="F834" s="11">
        <v>18000000</v>
      </c>
      <c r="G834" s="11">
        <v>18800000</v>
      </c>
      <c r="H834" s="11">
        <v>19500000</v>
      </c>
    </row>
    <row r="835" spans="4:8" x14ac:dyDescent="0.2">
      <c r="D835" s="9">
        <v>20200318</v>
      </c>
      <c r="E835" s="10" t="s">
        <v>192</v>
      </c>
      <c r="F835" s="11">
        <v>400000</v>
      </c>
      <c r="G835" s="11">
        <v>500000</v>
      </c>
      <c r="H835" s="11">
        <v>500000</v>
      </c>
    </row>
    <row r="836" spans="4:8" x14ac:dyDescent="0.2">
      <c r="D836" s="9">
        <v>20200321</v>
      </c>
      <c r="E836" s="10" t="s">
        <v>193</v>
      </c>
      <c r="F836" s="11">
        <v>600000</v>
      </c>
      <c r="G836" s="11">
        <v>600000</v>
      </c>
      <c r="H836" s="11">
        <v>600000</v>
      </c>
    </row>
    <row r="837" spans="4:8" x14ac:dyDescent="0.2">
      <c r="D837" s="9">
        <v>20210274</v>
      </c>
      <c r="E837" s="10" t="s">
        <v>194</v>
      </c>
      <c r="F837" s="11">
        <v>3000000</v>
      </c>
      <c r="G837" s="11">
        <f>3500000-500000</f>
        <v>3000000</v>
      </c>
      <c r="H837" s="11">
        <f>3500000-500000</f>
        <v>3000000</v>
      </c>
    </row>
    <row r="838" spans="4:8" x14ac:dyDescent="0.2">
      <c r="D838" s="9">
        <v>20210280</v>
      </c>
      <c r="E838" s="10" t="s">
        <v>195</v>
      </c>
      <c r="F838" s="11">
        <v>6000000</v>
      </c>
      <c r="G838" s="11">
        <f>2694110+3305890</f>
        <v>6000000</v>
      </c>
      <c r="H838" s="11">
        <f>6000000-1000000</f>
        <v>5000000</v>
      </c>
    </row>
    <row r="839" spans="4:8" x14ac:dyDescent="0.2">
      <c r="D839" s="9">
        <v>20230224</v>
      </c>
      <c r="E839" s="10" t="s">
        <v>196</v>
      </c>
      <c r="F839" s="11">
        <v>173913040</v>
      </c>
      <c r="G839" s="11"/>
      <c r="H839" s="11"/>
    </row>
    <row r="840" spans="4:8" x14ac:dyDescent="0.2">
      <c r="D840" s="9">
        <v>20230226</v>
      </c>
      <c r="E840" s="10" t="s">
        <v>197</v>
      </c>
      <c r="F840" s="11">
        <v>165217390</v>
      </c>
      <c r="G840" s="11"/>
      <c r="H840" s="11"/>
    </row>
    <row r="841" spans="4:8" x14ac:dyDescent="0.2">
      <c r="D841" s="9">
        <v>20240057</v>
      </c>
      <c r="E841" s="10" t="s">
        <v>198</v>
      </c>
      <c r="F841" s="11">
        <f>5066180+3000000</f>
        <v>8066180</v>
      </c>
      <c r="G841" s="11">
        <f>2000000-500000</f>
        <v>1500000</v>
      </c>
      <c r="H841" s="11">
        <f>2000000-500000</f>
        <v>1500000</v>
      </c>
    </row>
    <row r="842" spans="4:8" x14ac:dyDescent="0.2">
      <c r="D842" s="9">
        <v>20240067</v>
      </c>
      <c r="E842" s="10" t="s">
        <v>199</v>
      </c>
      <c r="F842" s="11">
        <v>400000</v>
      </c>
      <c r="G842" s="11">
        <v>500000</v>
      </c>
      <c r="H842" s="11">
        <v>500000</v>
      </c>
    </row>
    <row r="843" spans="4:8" x14ac:dyDescent="0.2">
      <c r="D843" s="9">
        <v>20240117</v>
      </c>
      <c r="E843" s="10" t="s">
        <v>200</v>
      </c>
      <c r="F843" s="11">
        <v>4000000</v>
      </c>
      <c r="G843" s="11">
        <v>3000000</v>
      </c>
      <c r="H843" s="11">
        <v>3000000</v>
      </c>
    </row>
    <row r="844" spans="4:8" x14ac:dyDescent="0.2">
      <c r="D844" s="9">
        <v>20240119</v>
      </c>
      <c r="E844" s="10" t="s">
        <v>201</v>
      </c>
      <c r="F844" s="11">
        <v>5500000</v>
      </c>
      <c r="G844" s="11">
        <v>5500000</v>
      </c>
      <c r="H844" s="11">
        <v>4300000</v>
      </c>
    </row>
    <row r="845" spans="4:8" x14ac:dyDescent="0.2">
      <c r="D845" s="9">
        <v>20250162</v>
      </c>
      <c r="E845" s="10" t="s">
        <v>203</v>
      </c>
      <c r="F845" s="11">
        <f>27800000-1500000+280610+160</f>
        <v>26580770</v>
      </c>
      <c r="G845" s="11">
        <f>23800000-922360+358380</f>
        <v>23236020</v>
      </c>
      <c r="H845" s="11">
        <f>23800000+359500</f>
        <v>24159500</v>
      </c>
    </row>
    <row r="846" spans="4:8" x14ac:dyDescent="0.2">
      <c r="D846" s="9">
        <v>20250163</v>
      </c>
      <c r="E846" s="10" t="s">
        <v>842</v>
      </c>
      <c r="F846" s="11">
        <f>41700000-1500000+420900-1000000</f>
        <v>39620900</v>
      </c>
      <c r="G846" s="11">
        <f>35700000-1383540+537560</f>
        <v>34854020</v>
      </c>
      <c r="H846" s="11">
        <f>35700000+539250</f>
        <v>36239250</v>
      </c>
    </row>
    <row r="847" spans="4:8" x14ac:dyDescent="0.2">
      <c r="D847" s="9">
        <v>20250172</v>
      </c>
      <c r="E847" s="10" t="s">
        <v>204</v>
      </c>
      <c r="F847" s="11">
        <v>4000000</v>
      </c>
      <c r="G847" s="11">
        <f>4200000-800000</f>
        <v>3400000</v>
      </c>
      <c r="H847" s="11">
        <f>4400000-800000</f>
        <v>3600000</v>
      </c>
    </row>
    <row r="848" spans="4:8" x14ac:dyDescent="0.2">
      <c r="D848" s="9">
        <v>20250173</v>
      </c>
      <c r="E848" s="10" t="s">
        <v>205</v>
      </c>
      <c r="F848" s="11">
        <v>6000000</v>
      </c>
      <c r="G848" s="11">
        <f>6300000-1200000</f>
        <v>5100000</v>
      </c>
      <c r="H848" s="11">
        <f>6600000-1200000</f>
        <v>5400000</v>
      </c>
    </row>
    <row r="849" spans="1:9" x14ac:dyDescent="0.2">
      <c r="D849" s="9">
        <v>20250174</v>
      </c>
      <c r="E849" s="10" t="s">
        <v>206</v>
      </c>
      <c r="F849" s="11">
        <v>2000000</v>
      </c>
      <c r="G849" s="11">
        <v>2000000</v>
      </c>
      <c r="H849" s="11">
        <v>1500000</v>
      </c>
    </row>
    <row r="850" spans="1:9" x14ac:dyDescent="0.2">
      <c r="D850" s="9">
        <v>20250175</v>
      </c>
      <c r="E850" s="10" t="s">
        <v>207</v>
      </c>
      <c r="F850" s="11">
        <v>6500000</v>
      </c>
      <c r="G850" s="11">
        <v>7000000</v>
      </c>
      <c r="H850" s="11">
        <v>7000000</v>
      </c>
    </row>
    <row r="851" spans="1:9" x14ac:dyDescent="0.2">
      <c r="D851" s="9">
        <v>20250180</v>
      </c>
      <c r="E851" s="10" t="s">
        <v>208</v>
      </c>
      <c r="F851" s="11">
        <v>100000</v>
      </c>
      <c r="G851" s="11">
        <v>1000000</v>
      </c>
      <c r="H851" s="11">
        <v>1000000</v>
      </c>
    </row>
    <row r="852" spans="1:9" x14ac:dyDescent="0.2">
      <c r="D852" s="9">
        <v>20250183</v>
      </c>
      <c r="E852" s="10" t="s">
        <v>209</v>
      </c>
      <c r="F852" s="11"/>
      <c r="G852" s="11">
        <v>500000</v>
      </c>
      <c r="H852" s="11">
        <v>500000</v>
      </c>
    </row>
    <row r="853" spans="1:9" x14ac:dyDescent="0.2">
      <c r="D853" s="9">
        <v>20250184</v>
      </c>
      <c r="E853" s="10" t="s">
        <v>210</v>
      </c>
      <c r="F853" s="11"/>
      <c r="G853" s="11">
        <v>500000</v>
      </c>
      <c r="H853" s="11">
        <v>500000</v>
      </c>
    </row>
    <row r="854" spans="1:9" x14ac:dyDescent="0.2">
      <c r="D854" s="9">
        <v>20250185</v>
      </c>
      <c r="E854" s="10" t="s">
        <v>211</v>
      </c>
      <c r="F854" s="11"/>
      <c r="G854" s="11">
        <v>500000</v>
      </c>
      <c r="H854" s="11">
        <v>500000</v>
      </c>
    </row>
    <row r="855" spans="1:9" x14ac:dyDescent="0.2">
      <c r="D855" s="9">
        <v>20250187</v>
      </c>
      <c r="E855" s="10" t="s">
        <v>213</v>
      </c>
      <c r="F855" s="11">
        <v>1000000</v>
      </c>
      <c r="G855" s="11">
        <f>2000000-500000</f>
        <v>1500000</v>
      </c>
      <c r="H855" s="11">
        <f>2000000-500000</f>
        <v>1500000</v>
      </c>
    </row>
    <row r="856" spans="1:9" x14ac:dyDescent="0.2">
      <c r="D856" s="9">
        <v>20250188</v>
      </c>
      <c r="E856" s="10" t="s">
        <v>214</v>
      </c>
      <c r="F856" s="11"/>
      <c r="G856" s="11">
        <v>500000</v>
      </c>
      <c r="H856" s="11">
        <v>500000</v>
      </c>
    </row>
    <row r="857" spans="1:9" x14ac:dyDescent="0.2">
      <c r="D857" s="9">
        <v>20250189</v>
      </c>
      <c r="E857" s="10" t="s">
        <v>215</v>
      </c>
      <c r="F857" s="11"/>
      <c r="G857" s="11">
        <v>500000</v>
      </c>
      <c r="H857" s="11">
        <v>500000</v>
      </c>
    </row>
    <row r="858" spans="1:9" x14ac:dyDescent="0.2">
      <c r="D858" s="9">
        <v>20250190</v>
      </c>
      <c r="E858" s="10" t="s">
        <v>216</v>
      </c>
      <c r="F858" s="11"/>
      <c r="G858" s="11">
        <v>500000</v>
      </c>
      <c r="H858" s="11">
        <v>500000</v>
      </c>
    </row>
    <row r="860" spans="1:9" x14ac:dyDescent="0.2">
      <c r="C860" s="10" t="s">
        <v>13</v>
      </c>
      <c r="E860" s="19" t="str">
        <f>C860</f>
        <v>Capital Total</v>
      </c>
      <c r="F860" s="20">
        <f>SUM(F822:F859)</f>
        <v>549094530</v>
      </c>
      <c r="G860" s="20">
        <f>SUM(G822:G859)</f>
        <v>193990040</v>
      </c>
      <c r="H860" s="20">
        <f>SUM(H822:H859)</f>
        <v>195098250</v>
      </c>
    </row>
    <row r="861" spans="1:9" x14ac:dyDescent="0.2">
      <c r="E861" s="23"/>
      <c r="F861" s="11"/>
      <c r="G861" s="11"/>
      <c r="H861" s="11"/>
    </row>
    <row r="862" spans="1:9" s="12" customFormat="1" x14ac:dyDescent="0.2">
      <c r="A862" s="91" t="str">
        <f>B864</f>
        <v>WARD 992</v>
      </c>
      <c r="B862" s="91"/>
      <c r="C862" s="91"/>
      <c r="D862" s="99" t="str">
        <f>A862</f>
        <v>WARD 992</v>
      </c>
      <c r="E862" s="99"/>
      <c r="F862" s="99"/>
      <c r="G862" s="99"/>
      <c r="H862" s="99"/>
      <c r="I862" s="99"/>
    </row>
    <row r="863" spans="1:9" s="92" customFormat="1" ht="45" x14ac:dyDescent="0.2">
      <c r="D863" s="34" t="s">
        <v>8</v>
      </c>
      <c r="E863" s="35" t="s">
        <v>9</v>
      </c>
      <c r="F863" s="36" t="s">
        <v>719</v>
      </c>
      <c r="G863" s="36" t="s">
        <v>720</v>
      </c>
      <c r="H863" s="36" t="s">
        <v>721</v>
      </c>
      <c r="I863" s="35" t="s">
        <v>10</v>
      </c>
    </row>
    <row r="864" spans="1:9" x14ac:dyDescent="0.2">
      <c r="A864" s="10">
        <v>992</v>
      </c>
      <c r="B864" s="10" t="s">
        <v>133</v>
      </c>
      <c r="C864" s="10" t="s">
        <v>12</v>
      </c>
      <c r="D864" s="9">
        <v>20182423</v>
      </c>
      <c r="E864" s="10" t="s">
        <v>266</v>
      </c>
      <c r="F864" s="11">
        <v>2000000</v>
      </c>
      <c r="G864" s="11">
        <v>7000000</v>
      </c>
      <c r="H864" s="11">
        <v>9500000</v>
      </c>
    </row>
    <row r="865" spans="4:8" x14ac:dyDescent="0.2">
      <c r="D865" s="9">
        <v>20182425</v>
      </c>
      <c r="E865" s="10" t="s">
        <v>267</v>
      </c>
      <c r="F865" s="11"/>
      <c r="G865" s="11">
        <v>2000000</v>
      </c>
      <c r="H865" s="11">
        <v>2000000</v>
      </c>
    </row>
    <row r="866" spans="4:8" x14ac:dyDescent="0.2">
      <c r="D866" s="9">
        <v>20182428</v>
      </c>
      <c r="E866" s="10" t="s">
        <v>822</v>
      </c>
      <c r="F866" s="11">
        <f>12500000-4000000</f>
        <v>8500000</v>
      </c>
      <c r="G866" s="11">
        <v>5000000</v>
      </c>
      <c r="H866" s="11">
        <v>5000000</v>
      </c>
    </row>
    <row r="867" spans="4:8" x14ac:dyDescent="0.2">
      <c r="D867" s="9">
        <v>20182431</v>
      </c>
      <c r="E867" s="10" t="s">
        <v>268</v>
      </c>
      <c r="F867" s="11">
        <v>500000</v>
      </c>
      <c r="G867" s="11">
        <v>2000000</v>
      </c>
      <c r="H867" s="11">
        <v>2000000</v>
      </c>
    </row>
    <row r="868" spans="4:8" x14ac:dyDescent="0.2">
      <c r="D868" s="9">
        <v>20182540</v>
      </c>
      <c r="E868" s="10" t="s">
        <v>269</v>
      </c>
      <c r="F868" s="11"/>
      <c r="G868" s="11">
        <v>500000</v>
      </c>
      <c r="H868" s="11">
        <v>500000</v>
      </c>
    </row>
    <row r="869" spans="4:8" x14ac:dyDescent="0.2">
      <c r="D869" s="9">
        <v>20190247</v>
      </c>
      <c r="E869" s="10" t="s">
        <v>270</v>
      </c>
      <c r="F869" s="11">
        <v>1000000</v>
      </c>
      <c r="G869" s="11">
        <v>1500000</v>
      </c>
      <c r="H869" s="11">
        <v>500000</v>
      </c>
    </row>
    <row r="870" spans="4:8" x14ac:dyDescent="0.2">
      <c r="D870" s="9">
        <v>20190248</v>
      </c>
      <c r="E870" s="10" t="s">
        <v>271</v>
      </c>
      <c r="F870" s="11">
        <v>2000000</v>
      </c>
      <c r="G870" s="11">
        <v>1000000</v>
      </c>
      <c r="H870" s="11">
        <v>500000</v>
      </c>
    </row>
    <row r="871" spans="4:8" x14ac:dyDescent="0.2">
      <c r="D871" s="9">
        <v>20190250</v>
      </c>
      <c r="E871" s="10" t="s">
        <v>273</v>
      </c>
      <c r="F871" s="11">
        <v>3000000</v>
      </c>
      <c r="G871" s="11">
        <v>2000000</v>
      </c>
      <c r="H871" s="11">
        <v>2000000</v>
      </c>
    </row>
    <row r="872" spans="4:8" x14ac:dyDescent="0.2">
      <c r="D872" s="9">
        <v>20190256</v>
      </c>
      <c r="E872" s="10" t="s">
        <v>275</v>
      </c>
      <c r="F872" s="11">
        <v>10000000</v>
      </c>
      <c r="G872" s="11">
        <v>15000000</v>
      </c>
      <c r="H872" s="11">
        <v>25000000</v>
      </c>
    </row>
    <row r="873" spans="4:8" x14ac:dyDescent="0.2">
      <c r="D873" s="9">
        <v>20190257</v>
      </c>
      <c r="E873" s="10" t="s">
        <v>863</v>
      </c>
      <c r="F873" s="11">
        <f>20000000-500000-500000-1000000</f>
        <v>18000000</v>
      </c>
      <c r="G873" s="11">
        <v>15000000</v>
      </c>
      <c r="H873" s="11">
        <v>15000000</v>
      </c>
    </row>
    <row r="874" spans="4:8" x14ac:dyDescent="0.2">
      <c r="D874" s="9">
        <v>20190258</v>
      </c>
      <c r="E874" s="10" t="s">
        <v>276</v>
      </c>
      <c r="F874" s="11">
        <v>250000</v>
      </c>
      <c r="G874" s="11">
        <v>500000</v>
      </c>
      <c r="H874" s="11">
        <v>500000</v>
      </c>
    </row>
    <row r="875" spans="4:8" x14ac:dyDescent="0.2">
      <c r="D875" s="9">
        <v>20190278</v>
      </c>
      <c r="E875" s="10" t="s">
        <v>277</v>
      </c>
      <c r="F875" s="11">
        <v>2000000</v>
      </c>
      <c r="G875" s="11">
        <v>2000000</v>
      </c>
      <c r="H875" s="11">
        <v>2000000</v>
      </c>
    </row>
    <row r="876" spans="4:8" x14ac:dyDescent="0.2">
      <c r="D876" s="9">
        <v>20200160</v>
      </c>
      <c r="E876" s="10" t="s">
        <v>278</v>
      </c>
      <c r="F876" s="11">
        <v>100000</v>
      </c>
      <c r="G876" s="11">
        <v>1000000</v>
      </c>
      <c r="H876" s="11">
        <v>1000000</v>
      </c>
    </row>
    <row r="877" spans="4:8" x14ac:dyDescent="0.2">
      <c r="D877" s="9">
        <v>20200161</v>
      </c>
      <c r="E877" s="10" t="s">
        <v>279</v>
      </c>
      <c r="F877" s="11">
        <v>500000</v>
      </c>
      <c r="G877" s="11">
        <v>2000000</v>
      </c>
      <c r="H877" s="11">
        <v>5000000</v>
      </c>
    </row>
    <row r="878" spans="4:8" x14ac:dyDescent="0.2">
      <c r="D878" s="9">
        <v>20210244</v>
      </c>
      <c r="E878" s="10" t="s">
        <v>866</v>
      </c>
      <c r="F878" s="11">
        <f>100000-100000</f>
        <v>0</v>
      </c>
      <c r="G878" s="11">
        <v>500000</v>
      </c>
      <c r="H878" s="11">
        <v>100000</v>
      </c>
    </row>
    <row r="879" spans="4:8" x14ac:dyDescent="0.2">
      <c r="D879" s="9">
        <v>20230012</v>
      </c>
      <c r="E879" s="10" t="s">
        <v>280</v>
      </c>
      <c r="F879" s="11">
        <f>23565220-3000000-1500000-1500000-1500000</f>
        <v>16065220</v>
      </c>
      <c r="G879" s="11">
        <v>6434780</v>
      </c>
      <c r="H879" s="11">
        <v>1391300</v>
      </c>
    </row>
    <row r="880" spans="4:8" x14ac:dyDescent="0.2">
      <c r="D880" s="9">
        <v>20230268</v>
      </c>
      <c r="E880" s="10" t="s">
        <v>281</v>
      </c>
      <c r="F880" s="11">
        <v>500000</v>
      </c>
      <c r="G880" s="11">
        <v>2000000</v>
      </c>
      <c r="H880" s="11">
        <v>5000000</v>
      </c>
    </row>
    <row r="881" spans="4:8" x14ac:dyDescent="0.2">
      <c r="D881" s="9">
        <v>20230269</v>
      </c>
      <c r="E881" s="10" t="s">
        <v>282</v>
      </c>
      <c r="F881" s="11">
        <v>6000000</v>
      </c>
      <c r="G881" s="11">
        <v>14000000</v>
      </c>
      <c r="H881" s="11">
        <v>30000000</v>
      </c>
    </row>
    <row r="882" spans="4:8" x14ac:dyDescent="0.2">
      <c r="D882" s="9">
        <v>20230270</v>
      </c>
      <c r="E882" s="10" t="s">
        <v>283</v>
      </c>
      <c r="F882" s="11">
        <v>100000</v>
      </c>
      <c r="G882" s="11">
        <v>500000</v>
      </c>
      <c r="H882" s="11">
        <v>1000000</v>
      </c>
    </row>
    <row r="883" spans="4:8" x14ac:dyDescent="0.2">
      <c r="D883" s="9">
        <v>20230272</v>
      </c>
      <c r="E883" s="10" t="s">
        <v>284</v>
      </c>
      <c r="F883" s="11">
        <v>2000000</v>
      </c>
      <c r="G883" s="11">
        <v>2000000</v>
      </c>
      <c r="H883" s="11">
        <v>2000000</v>
      </c>
    </row>
    <row r="884" spans="4:8" x14ac:dyDescent="0.2">
      <c r="D884" s="9">
        <v>20230273</v>
      </c>
      <c r="E884" s="10" t="s">
        <v>285</v>
      </c>
      <c r="F884" s="11">
        <v>2000000</v>
      </c>
      <c r="G884" s="11">
        <v>40000000</v>
      </c>
      <c r="H884" s="11">
        <v>50000000</v>
      </c>
    </row>
    <row r="885" spans="4:8" x14ac:dyDescent="0.2">
      <c r="D885" s="9">
        <v>20240058</v>
      </c>
      <c r="E885" s="10" t="s">
        <v>286</v>
      </c>
      <c r="F885" s="11">
        <v>2500000</v>
      </c>
      <c r="G885" s="11">
        <v>1500000</v>
      </c>
      <c r="H885" s="11">
        <v>2000000</v>
      </c>
    </row>
    <row r="886" spans="4:8" x14ac:dyDescent="0.2">
      <c r="D886" s="9">
        <v>20240178</v>
      </c>
      <c r="E886" s="10" t="s">
        <v>287</v>
      </c>
      <c r="F886" s="11">
        <v>2000000</v>
      </c>
      <c r="G886" s="11">
        <v>2500000</v>
      </c>
      <c r="H886" s="11">
        <v>500000</v>
      </c>
    </row>
    <row r="887" spans="4:8" x14ac:dyDescent="0.2">
      <c r="D887" s="9">
        <v>20240179</v>
      </c>
      <c r="E887" s="10" t="s">
        <v>288</v>
      </c>
      <c r="F887" s="11">
        <v>2500000</v>
      </c>
      <c r="G887" s="11">
        <v>2500000</v>
      </c>
      <c r="H887" s="11">
        <v>500000</v>
      </c>
    </row>
    <row r="888" spans="4:8" x14ac:dyDescent="0.2">
      <c r="D888" s="9">
        <v>20240180</v>
      </c>
      <c r="E888" s="10" t="s">
        <v>289</v>
      </c>
      <c r="F888" s="11">
        <v>3000000</v>
      </c>
      <c r="G888" s="11">
        <v>2500000</v>
      </c>
      <c r="H888" s="11">
        <v>500000</v>
      </c>
    </row>
    <row r="889" spans="4:8" x14ac:dyDescent="0.2">
      <c r="D889" s="9">
        <v>20240181</v>
      </c>
      <c r="E889" s="10" t="s">
        <v>290</v>
      </c>
      <c r="F889" s="11">
        <f>588050+2000000</f>
        <v>2588050</v>
      </c>
      <c r="G889" s="11">
        <f>1839750+2500000</f>
        <v>4339750</v>
      </c>
      <c r="H889" s="11">
        <f>1874400+500000</f>
        <v>2374400</v>
      </c>
    </row>
    <row r="890" spans="4:8" x14ac:dyDescent="0.2">
      <c r="D890" s="9">
        <v>20240182</v>
      </c>
      <c r="E890" s="10" t="s">
        <v>291</v>
      </c>
      <c r="F890" s="11">
        <v>2000000</v>
      </c>
      <c r="G890" s="11">
        <v>2500000</v>
      </c>
      <c r="H890" s="11">
        <v>500000</v>
      </c>
    </row>
    <row r="891" spans="4:8" x14ac:dyDescent="0.2">
      <c r="D891" s="9">
        <v>20240183</v>
      </c>
      <c r="E891" s="10" t="s">
        <v>292</v>
      </c>
      <c r="F891" s="11">
        <v>2500000</v>
      </c>
      <c r="G891" s="11">
        <v>2500000</v>
      </c>
      <c r="H891" s="11">
        <v>500000</v>
      </c>
    </row>
    <row r="892" spans="4:8" x14ac:dyDescent="0.2">
      <c r="D892" s="9">
        <v>20240184</v>
      </c>
      <c r="E892" s="10" t="s">
        <v>293</v>
      </c>
      <c r="F892" s="11"/>
      <c r="G892" s="11">
        <v>2500000</v>
      </c>
      <c r="H892" s="11">
        <v>500000</v>
      </c>
    </row>
    <row r="893" spans="4:8" x14ac:dyDescent="0.2">
      <c r="D893" s="9">
        <v>20240186</v>
      </c>
      <c r="E893" s="10" t="s">
        <v>294</v>
      </c>
      <c r="F893" s="11">
        <v>1000000</v>
      </c>
      <c r="G893" s="11">
        <v>4000000</v>
      </c>
      <c r="H893" s="11">
        <v>500000</v>
      </c>
    </row>
    <row r="894" spans="4:8" x14ac:dyDescent="0.2">
      <c r="D894" s="9">
        <v>20240189</v>
      </c>
      <c r="E894" s="10" t="s">
        <v>295</v>
      </c>
      <c r="F894" s="11">
        <v>4000000</v>
      </c>
      <c r="G894" s="11">
        <v>4500000</v>
      </c>
      <c r="H894" s="11">
        <v>5000000</v>
      </c>
    </row>
    <row r="895" spans="4:8" x14ac:dyDescent="0.2">
      <c r="D895" s="9">
        <v>20240265</v>
      </c>
      <c r="E895" s="10" t="s">
        <v>821</v>
      </c>
      <c r="F895" s="11">
        <f>26500000-1000000</f>
        <v>25500000</v>
      </c>
      <c r="G895" s="11">
        <v>10000000</v>
      </c>
      <c r="H895" s="11">
        <v>2000000</v>
      </c>
    </row>
    <row r="896" spans="4:8" x14ac:dyDescent="0.2">
      <c r="D896" s="9">
        <v>20250075</v>
      </c>
      <c r="E896" s="10" t="s">
        <v>296</v>
      </c>
      <c r="F896" s="11">
        <v>100000</v>
      </c>
      <c r="G896" s="11">
        <v>250000</v>
      </c>
      <c r="H896" s="11">
        <v>250000</v>
      </c>
    </row>
    <row r="897" spans="1:9" x14ac:dyDescent="0.2">
      <c r="D897" s="9">
        <v>20250192</v>
      </c>
      <c r="E897" s="10" t="s">
        <v>297</v>
      </c>
      <c r="F897" s="11">
        <v>25500000</v>
      </c>
      <c r="G897" s="11">
        <v>5000000</v>
      </c>
      <c r="H897" s="11">
        <v>500000</v>
      </c>
    </row>
    <row r="898" spans="1:9" x14ac:dyDescent="0.2">
      <c r="D898" s="9">
        <v>20250193</v>
      </c>
      <c r="E898" s="10" t="s">
        <v>298</v>
      </c>
      <c r="F898" s="11">
        <v>23178220</v>
      </c>
      <c r="G898" s="11">
        <v>21272140</v>
      </c>
      <c r="H898" s="11">
        <v>16632140</v>
      </c>
    </row>
    <row r="899" spans="1:9" ht="9.9499999999999993" customHeight="1" x14ac:dyDescent="0.2">
      <c r="D899" s="9">
        <v>20250194</v>
      </c>
      <c r="E899" s="10" t="s">
        <v>299</v>
      </c>
      <c r="F899" s="11">
        <f>34182660-1240000-800000-1000000</f>
        <v>31142660</v>
      </c>
      <c r="G899" s="11">
        <v>31293430</v>
      </c>
      <c r="H899" s="11">
        <f>25823545+93+2</f>
        <v>25823640</v>
      </c>
    </row>
    <row r="900" spans="1:9" x14ac:dyDescent="0.2">
      <c r="D900" s="9">
        <v>20250197</v>
      </c>
      <c r="E900" s="10" t="s">
        <v>300</v>
      </c>
      <c r="F900" s="11">
        <v>100000</v>
      </c>
      <c r="G900" s="11">
        <v>1750000</v>
      </c>
      <c r="H900" s="11">
        <v>1750000</v>
      </c>
    </row>
    <row r="902" spans="1:9" x14ac:dyDescent="0.2">
      <c r="C902" s="10" t="s">
        <v>13</v>
      </c>
      <c r="E902" s="19" t="str">
        <f>C902</f>
        <v>Capital Total</v>
      </c>
      <c r="F902" s="20">
        <f>SUM(F864:F901)</f>
        <v>202124150</v>
      </c>
      <c r="G902" s="20">
        <f>SUM(G864:G901)</f>
        <v>220840100</v>
      </c>
      <c r="H902" s="20">
        <f>SUM(H864:H901)</f>
        <v>219821480</v>
      </c>
    </row>
    <row r="903" spans="1:9" x14ac:dyDescent="0.2">
      <c r="E903" s="23"/>
      <c r="F903" s="11"/>
      <c r="G903" s="11"/>
      <c r="H903" s="11"/>
    </row>
    <row r="904" spans="1:9" s="12" customFormat="1" x14ac:dyDescent="0.2">
      <c r="A904" s="91" t="e">
        <f>#REF!</f>
        <v>#REF!</v>
      </c>
      <c r="B904" s="91"/>
      <c r="C904" s="91"/>
      <c r="D904" s="99" t="s">
        <v>134</v>
      </c>
      <c r="E904" s="99"/>
      <c r="F904" s="99"/>
      <c r="G904" s="99"/>
      <c r="H904" s="99"/>
      <c r="I904" s="99"/>
    </row>
    <row r="905" spans="1:9" s="92" customFormat="1" ht="45" x14ac:dyDescent="0.2">
      <c r="D905" s="34" t="s">
        <v>8</v>
      </c>
      <c r="E905" s="35" t="s">
        <v>9</v>
      </c>
      <c r="F905" s="36" t="s">
        <v>719</v>
      </c>
      <c r="G905" s="36" t="s">
        <v>720</v>
      </c>
      <c r="H905" s="36" t="s">
        <v>721</v>
      </c>
      <c r="I905" s="35" t="s">
        <v>10</v>
      </c>
    </row>
    <row r="906" spans="1:9" x14ac:dyDescent="0.2">
      <c r="D906" s="9">
        <v>20170144</v>
      </c>
      <c r="E906" s="10" t="s">
        <v>301</v>
      </c>
      <c r="F906" s="11"/>
      <c r="G906" s="11">
        <v>200000</v>
      </c>
      <c r="H906" s="11"/>
    </row>
    <row r="907" spans="1:9" x14ac:dyDescent="0.2">
      <c r="D907" s="9">
        <v>20170154</v>
      </c>
      <c r="E907" s="10" t="s">
        <v>302</v>
      </c>
      <c r="F907" s="11">
        <v>10000000</v>
      </c>
      <c r="G907" s="11"/>
      <c r="H907" s="11"/>
    </row>
    <row r="908" spans="1:9" x14ac:dyDescent="0.2">
      <c r="D908" s="9">
        <v>20182535</v>
      </c>
      <c r="E908" s="10" t="s">
        <v>303</v>
      </c>
      <c r="F908" s="11"/>
      <c r="G908" s="11">
        <v>500000</v>
      </c>
      <c r="H908" s="11"/>
    </row>
    <row r="909" spans="1:9" x14ac:dyDescent="0.2">
      <c r="D909" s="9">
        <v>20182549</v>
      </c>
      <c r="E909" s="10" t="s">
        <v>304</v>
      </c>
      <c r="F909" s="11">
        <v>2000000</v>
      </c>
      <c r="G909" s="11">
        <v>500000</v>
      </c>
      <c r="H909" s="11">
        <v>500000</v>
      </c>
    </row>
    <row r="910" spans="1:9" x14ac:dyDescent="0.2">
      <c r="D910" s="9">
        <v>20182550</v>
      </c>
      <c r="E910" s="10" t="s">
        <v>305</v>
      </c>
      <c r="F910" s="11">
        <v>2000000</v>
      </c>
      <c r="G910" s="11">
        <v>5000000</v>
      </c>
      <c r="H910" s="11">
        <v>2500000</v>
      </c>
    </row>
    <row r="911" spans="1:9" x14ac:dyDescent="0.2">
      <c r="D911" s="9">
        <v>20190106</v>
      </c>
      <c r="E911" s="10" t="s">
        <v>306</v>
      </c>
      <c r="F911" s="11">
        <v>4162160</v>
      </c>
      <c r="G911" s="11">
        <v>4000000</v>
      </c>
      <c r="H911" s="11">
        <v>3500000</v>
      </c>
    </row>
    <row r="912" spans="1:9" x14ac:dyDescent="0.2">
      <c r="D912" s="9">
        <v>20190122</v>
      </c>
      <c r="E912" s="10" t="s">
        <v>307</v>
      </c>
      <c r="F912" s="11"/>
      <c r="G912" s="11">
        <v>300000</v>
      </c>
      <c r="H912" s="11"/>
    </row>
    <row r="913" spans="4:8" x14ac:dyDescent="0.2">
      <c r="D913" s="9">
        <v>20190123</v>
      </c>
      <c r="E913" s="10" t="s">
        <v>308</v>
      </c>
      <c r="F913" s="11">
        <v>300000</v>
      </c>
      <c r="G913" s="11">
        <v>300000</v>
      </c>
      <c r="H913" s="11"/>
    </row>
    <row r="914" spans="4:8" x14ac:dyDescent="0.2">
      <c r="D914" s="9">
        <v>20190124</v>
      </c>
      <c r="E914" s="10" t="s">
        <v>309</v>
      </c>
      <c r="F914" s="11">
        <v>250000</v>
      </c>
      <c r="G914" s="11">
        <v>200000</v>
      </c>
      <c r="H914" s="11">
        <v>600000</v>
      </c>
    </row>
    <row r="915" spans="4:8" x14ac:dyDescent="0.2">
      <c r="D915" s="9">
        <v>20190125</v>
      </c>
      <c r="E915" s="10" t="s">
        <v>310</v>
      </c>
      <c r="F915" s="11"/>
      <c r="G915" s="11"/>
      <c r="H915" s="11">
        <v>100000</v>
      </c>
    </row>
    <row r="916" spans="4:8" x14ac:dyDescent="0.2">
      <c r="D916" s="9">
        <v>20190126</v>
      </c>
      <c r="E916" s="10" t="s">
        <v>311</v>
      </c>
      <c r="F916" s="11"/>
      <c r="G916" s="11">
        <v>200000</v>
      </c>
      <c r="H916" s="11">
        <v>500000</v>
      </c>
    </row>
    <row r="917" spans="4:8" x14ac:dyDescent="0.2">
      <c r="D917" s="9">
        <v>20190141</v>
      </c>
      <c r="E917" s="10" t="s">
        <v>312</v>
      </c>
      <c r="F917" s="11">
        <v>15000000</v>
      </c>
      <c r="G917" s="11"/>
      <c r="H917" s="11"/>
    </row>
    <row r="918" spans="4:8" x14ac:dyDescent="0.2">
      <c r="D918" s="9">
        <v>20190228</v>
      </c>
      <c r="E918" s="10" t="s">
        <v>313</v>
      </c>
      <c r="F918" s="11">
        <v>12000000</v>
      </c>
      <c r="G918" s="11">
        <v>6000000</v>
      </c>
      <c r="H918" s="11"/>
    </row>
    <row r="919" spans="4:8" x14ac:dyDescent="0.2">
      <c r="D919" s="9">
        <v>20190233</v>
      </c>
      <c r="E919" s="10" t="s">
        <v>314</v>
      </c>
      <c r="F919" s="11">
        <v>4000000</v>
      </c>
      <c r="G919" s="11"/>
      <c r="H919" s="11"/>
    </row>
    <row r="920" spans="4:8" x14ac:dyDescent="0.2">
      <c r="D920" s="9">
        <v>20200027</v>
      </c>
      <c r="E920" s="10" t="s">
        <v>315</v>
      </c>
      <c r="F920" s="11">
        <v>100000</v>
      </c>
      <c r="G920" s="11">
        <v>200000</v>
      </c>
      <c r="H920" s="11">
        <v>200000</v>
      </c>
    </row>
    <row r="921" spans="4:8" x14ac:dyDescent="0.2">
      <c r="D921" s="9">
        <v>20200070</v>
      </c>
      <c r="E921" s="10" t="s">
        <v>316</v>
      </c>
      <c r="F921" s="11">
        <v>7000000</v>
      </c>
      <c r="G921" s="11">
        <v>2000000</v>
      </c>
      <c r="H921" s="11">
        <v>2000000</v>
      </c>
    </row>
    <row r="922" spans="4:8" x14ac:dyDescent="0.2">
      <c r="D922" s="9">
        <v>20200163</v>
      </c>
      <c r="E922" s="10" t="s">
        <v>317</v>
      </c>
      <c r="F922" s="11"/>
      <c r="G922" s="11">
        <v>100000</v>
      </c>
      <c r="H922" s="11"/>
    </row>
    <row r="923" spans="4:8" x14ac:dyDescent="0.2">
      <c r="D923" s="9">
        <v>20200201</v>
      </c>
      <c r="E923" s="10" t="s">
        <v>318</v>
      </c>
      <c r="F923" s="11">
        <v>1000000</v>
      </c>
      <c r="G923" s="11">
        <v>1000000</v>
      </c>
      <c r="H923" s="11">
        <v>1000000</v>
      </c>
    </row>
    <row r="924" spans="4:8" x14ac:dyDescent="0.2">
      <c r="D924" s="9">
        <v>20200262</v>
      </c>
      <c r="E924" s="10" t="s">
        <v>319</v>
      </c>
      <c r="F924" s="11">
        <v>400000</v>
      </c>
      <c r="G924" s="11">
        <v>400000</v>
      </c>
      <c r="H924" s="11">
        <v>200000</v>
      </c>
    </row>
    <row r="925" spans="4:8" x14ac:dyDescent="0.2">
      <c r="D925" s="9">
        <v>20200319</v>
      </c>
      <c r="E925" s="10" t="s">
        <v>400</v>
      </c>
      <c r="F925" s="11">
        <v>300000</v>
      </c>
      <c r="G925" s="11">
        <v>500000</v>
      </c>
      <c r="H925" s="11">
        <v>500000</v>
      </c>
    </row>
    <row r="926" spans="4:8" x14ac:dyDescent="0.2">
      <c r="D926" s="9">
        <v>20210199</v>
      </c>
      <c r="E926" s="10" t="s">
        <v>320</v>
      </c>
      <c r="F926" s="11"/>
      <c r="G926" s="11">
        <v>200000</v>
      </c>
      <c r="H926" s="11"/>
    </row>
    <row r="927" spans="4:8" x14ac:dyDescent="0.2">
      <c r="D927" s="9">
        <v>20210202</v>
      </c>
      <c r="E927" s="10" t="s">
        <v>768</v>
      </c>
      <c r="F927" s="11">
        <v>1000000</v>
      </c>
      <c r="G927" s="11">
        <v>500000</v>
      </c>
      <c r="H927" s="11"/>
    </row>
    <row r="928" spans="4:8" x14ac:dyDescent="0.2">
      <c r="D928" s="9">
        <v>20210214</v>
      </c>
      <c r="E928" s="10" t="s">
        <v>321</v>
      </c>
      <c r="F928" s="11">
        <v>400000</v>
      </c>
      <c r="G928" s="11">
        <v>250000</v>
      </c>
      <c r="H928" s="11">
        <v>300000</v>
      </c>
    </row>
    <row r="929" spans="4:8" x14ac:dyDescent="0.2">
      <c r="D929" s="9">
        <v>20210219</v>
      </c>
      <c r="E929" s="10" t="s">
        <v>322</v>
      </c>
      <c r="F929" s="11">
        <v>1500000</v>
      </c>
      <c r="G929" s="11">
        <v>1500000</v>
      </c>
      <c r="H929" s="11"/>
    </row>
    <row r="930" spans="4:8" x14ac:dyDescent="0.2">
      <c r="D930" s="9">
        <v>20210220</v>
      </c>
      <c r="E930" s="10" t="s">
        <v>323</v>
      </c>
      <c r="F930" s="11">
        <v>200000</v>
      </c>
      <c r="G930" s="11">
        <v>200000</v>
      </c>
      <c r="H930" s="11"/>
    </row>
    <row r="931" spans="4:8" x14ac:dyDescent="0.2">
      <c r="D931" s="9">
        <v>20210233</v>
      </c>
      <c r="E931" s="10" t="s">
        <v>324</v>
      </c>
      <c r="F931" s="11">
        <v>200000</v>
      </c>
      <c r="G931" s="11">
        <v>200000</v>
      </c>
      <c r="H931" s="11">
        <v>200000</v>
      </c>
    </row>
    <row r="932" spans="4:8" x14ac:dyDescent="0.2">
      <c r="D932" s="9">
        <v>20210243</v>
      </c>
      <c r="E932" s="10" t="s">
        <v>325</v>
      </c>
      <c r="F932" s="11">
        <v>250000</v>
      </c>
      <c r="G932" s="11">
        <v>500000</v>
      </c>
      <c r="H932" s="11">
        <v>500000</v>
      </c>
    </row>
    <row r="933" spans="4:8" x14ac:dyDescent="0.2">
      <c r="D933" s="9">
        <v>20220112</v>
      </c>
      <c r="E933" s="10" t="s">
        <v>326</v>
      </c>
      <c r="F933" s="11">
        <v>1000000</v>
      </c>
      <c r="G933" s="11">
        <v>1000000</v>
      </c>
      <c r="H933" s="11">
        <v>1000000</v>
      </c>
    </row>
    <row r="934" spans="4:8" x14ac:dyDescent="0.2">
      <c r="D934" s="9">
        <v>20230053</v>
      </c>
      <c r="E934" s="10" t="s">
        <v>327</v>
      </c>
      <c r="F934" s="11">
        <v>850000</v>
      </c>
      <c r="G934" s="11"/>
      <c r="H934" s="11"/>
    </row>
    <row r="935" spans="4:8" x14ac:dyDescent="0.2">
      <c r="D935" s="9">
        <v>20230091</v>
      </c>
      <c r="E935" s="10" t="s">
        <v>328</v>
      </c>
      <c r="F935" s="11"/>
      <c r="G935" s="11"/>
      <c r="H935" s="11">
        <v>500000</v>
      </c>
    </row>
    <row r="936" spans="4:8" x14ac:dyDescent="0.2">
      <c r="D936" s="9">
        <v>20230092</v>
      </c>
      <c r="E936" s="10" t="s">
        <v>329</v>
      </c>
      <c r="F936" s="11"/>
      <c r="G936" s="11"/>
      <c r="H936" s="11">
        <v>500000</v>
      </c>
    </row>
    <row r="937" spans="4:8" x14ac:dyDescent="0.2">
      <c r="D937" s="9">
        <v>20230094</v>
      </c>
      <c r="E937" s="10" t="s">
        <v>330</v>
      </c>
      <c r="F937" s="11"/>
      <c r="G937" s="11"/>
      <c r="H937" s="11">
        <v>500000</v>
      </c>
    </row>
    <row r="938" spans="4:8" x14ac:dyDescent="0.2">
      <c r="D938" s="9">
        <v>20230095</v>
      </c>
      <c r="E938" s="10" t="s">
        <v>331</v>
      </c>
      <c r="F938" s="11"/>
      <c r="G938" s="11"/>
      <c r="H938" s="11">
        <v>500000</v>
      </c>
    </row>
    <row r="939" spans="4:8" x14ac:dyDescent="0.2">
      <c r="D939" s="9">
        <v>20230103</v>
      </c>
      <c r="E939" s="10" t="s">
        <v>332</v>
      </c>
      <c r="F939" s="11">
        <v>1500000</v>
      </c>
      <c r="G939" s="11"/>
      <c r="H939" s="11">
        <v>150000</v>
      </c>
    </row>
    <row r="940" spans="4:8" x14ac:dyDescent="0.2">
      <c r="D940" s="9">
        <v>20230107</v>
      </c>
      <c r="E940" s="10" t="s">
        <v>333</v>
      </c>
      <c r="F940" s="11">
        <v>250000</v>
      </c>
      <c r="G940" s="11">
        <v>500000</v>
      </c>
      <c r="H940" s="11">
        <v>4000000</v>
      </c>
    </row>
    <row r="941" spans="4:8" x14ac:dyDescent="0.2">
      <c r="D941" s="9">
        <v>20230108</v>
      </c>
      <c r="E941" s="10" t="s">
        <v>334</v>
      </c>
      <c r="F941" s="11">
        <v>200000</v>
      </c>
      <c r="G941" s="11">
        <v>300000</v>
      </c>
      <c r="H941" s="11">
        <v>1000000</v>
      </c>
    </row>
    <row r="942" spans="4:8" x14ac:dyDescent="0.2">
      <c r="D942" s="9">
        <v>20230113</v>
      </c>
      <c r="E942" s="10" t="s">
        <v>335</v>
      </c>
      <c r="F942" s="11">
        <v>1000000</v>
      </c>
      <c r="G942" s="11">
        <v>500000</v>
      </c>
      <c r="H942" s="11"/>
    </row>
    <row r="943" spans="4:8" x14ac:dyDescent="0.2">
      <c r="D943" s="9">
        <v>20230163</v>
      </c>
      <c r="E943" s="10" t="s">
        <v>301</v>
      </c>
      <c r="F943" s="11">
        <v>500000</v>
      </c>
      <c r="G943" s="11"/>
      <c r="H943" s="11"/>
    </row>
    <row r="944" spans="4:8" x14ac:dyDescent="0.2">
      <c r="D944" s="9">
        <v>20230166</v>
      </c>
      <c r="E944" s="10" t="s">
        <v>336</v>
      </c>
      <c r="F944" s="11">
        <v>500000</v>
      </c>
      <c r="G944" s="11">
        <v>300000</v>
      </c>
      <c r="H944" s="11"/>
    </row>
    <row r="945" spans="1:9" x14ac:dyDescent="0.2">
      <c r="D945" s="9">
        <v>20230173</v>
      </c>
      <c r="E945" s="10" t="s">
        <v>337</v>
      </c>
      <c r="F945" s="11">
        <v>2000000</v>
      </c>
      <c r="G945" s="11">
        <v>300000</v>
      </c>
      <c r="H945" s="11"/>
    </row>
    <row r="946" spans="1:9" x14ac:dyDescent="0.2">
      <c r="D946" s="9">
        <v>20230174</v>
      </c>
      <c r="E946" s="10" t="s">
        <v>338</v>
      </c>
      <c r="F946" s="11">
        <v>1500000</v>
      </c>
      <c r="G946" s="11"/>
      <c r="H946" s="11"/>
    </row>
    <row r="947" spans="1:9" x14ac:dyDescent="0.2">
      <c r="D947" s="9">
        <v>20230176</v>
      </c>
      <c r="E947" s="10" t="s">
        <v>339</v>
      </c>
      <c r="F947" s="11">
        <v>300000</v>
      </c>
      <c r="G947" s="11"/>
      <c r="H947" s="11"/>
    </row>
    <row r="948" spans="1:9" x14ac:dyDescent="0.2">
      <c r="D948" s="9">
        <v>20230181</v>
      </c>
      <c r="E948" s="10" t="s">
        <v>340</v>
      </c>
      <c r="F948" s="11">
        <v>13000000</v>
      </c>
      <c r="G948" s="11">
        <v>5000000</v>
      </c>
      <c r="H948" s="11">
        <v>3000000</v>
      </c>
    </row>
    <row r="949" spans="1:9" s="12" customFormat="1" ht="10.5" customHeight="1" x14ac:dyDescent="0.2">
      <c r="A949" s="91">
        <f>B953</f>
        <v>0</v>
      </c>
      <c r="B949" s="91"/>
      <c r="C949" s="91"/>
      <c r="D949" s="99" t="s">
        <v>151</v>
      </c>
      <c r="E949" s="99"/>
      <c r="F949" s="99"/>
      <c r="G949" s="99"/>
      <c r="H949" s="99"/>
      <c r="I949" s="99"/>
    </row>
    <row r="950" spans="1:9" s="92" customFormat="1" ht="45" x14ac:dyDescent="0.2">
      <c r="D950" s="34" t="s">
        <v>8</v>
      </c>
      <c r="E950" s="35" t="s">
        <v>9</v>
      </c>
      <c r="F950" s="36" t="s">
        <v>719</v>
      </c>
      <c r="G950" s="36" t="s">
        <v>720</v>
      </c>
      <c r="H950" s="36" t="s">
        <v>721</v>
      </c>
      <c r="I950" s="35" t="s">
        <v>10</v>
      </c>
    </row>
    <row r="951" spans="1:9" x14ac:dyDescent="0.2">
      <c r="D951" s="9">
        <v>20230184</v>
      </c>
      <c r="E951" s="10" t="s">
        <v>341</v>
      </c>
      <c r="F951" s="11">
        <v>100000</v>
      </c>
      <c r="G951" s="11"/>
      <c r="H951" s="11"/>
    </row>
    <row r="952" spans="1:9" x14ac:dyDescent="0.2">
      <c r="D952" s="9">
        <v>20230296</v>
      </c>
      <c r="E952" s="10" t="s">
        <v>342</v>
      </c>
      <c r="F952" s="11">
        <v>200000</v>
      </c>
      <c r="G952" s="11">
        <v>100000</v>
      </c>
      <c r="H952" s="11">
        <v>100000</v>
      </c>
    </row>
    <row r="953" spans="1:9" x14ac:dyDescent="0.2">
      <c r="D953" s="9">
        <v>20230300</v>
      </c>
      <c r="E953" s="10" t="s">
        <v>343</v>
      </c>
      <c r="F953" s="11">
        <v>150000</v>
      </c>
      <c r="G953" s="11">
        <v>150000</v>
      </c>
      <c r="H953" s="11"/>
    </row>
    <row r="954" spans="1:9" x14ac:dyDescent="0.2">
      <c r="D954" s="9">
        <v>20230322</v>
      </c>
      <c r="E954" s="10" t="s">
        <v>344</v>
      </c>
      <c r="F954" s="11">
        <v>100000</v>
      </c>
      <c r="G954" s="11">
        <v>100000</v>
      </c>
      <c r="H954" s="11">
        <v>100000</v>
      </c>
    </row>
    <row r="955" spans="1:9" x14ac:dyDescent="0.2">
      <c r="D955" s="9">
        <v>20240096</v>
      </c>
      <c r="E955" s="10" t="s">
        <v>345</v>
      </c>
      <c r="F955" s="11"/>
      <c r="G955" s="11">
        <v>150000</v>
      </c>
      <c r="H955" s="11"/>
    </row>
    <row r="956" spans="1:9" x14ac:dyDescent="0.2">
      <c r="D956" s="9">
        <v>20240097</v>
      </c>
      <c r="E956" s="10" t="s">
        <v>346</v>
      </c>
      <c r="F956" s="11"/>
      <c r="G956" s="11">
        <v>100000</v>
      </c>
      <c r="H956" s="11"/>
    </row>
    <row r="957" spans="1:9" x14ac:dyDescent="0.2">
      <c r="D957" s="9">
        <v>20240098</v>
      </c>
      <c r="E957" s="10" t="s">
        <v>347</v>
      </c>
      <c r="F957" s="11"/>
      <c r="G957" s="11">
        <v>150000</v>
      </c>
      <c r="H957" s="11"/>
    </row>
    <row r="958" spans="1:9" x14ac:dyDescent="0.2">
      <c r="D958" s="9">
        <v>20240101</v>
      </c>
      <c r="E958" s="10" t="s">
        <v>348</v>
      </c>
      <c r="F958" s="11"/>
      <c r="G958" s="11">
        <v>100000</v>
      </c>
      <c r="H958" s="11"/>
    </row>
    <row r="959" spans="1:9" x14ac:dyDescent="0.2">
      <c r="D959" s="9">
        <v>20240102</v>
      </c>
      <c r="E959" s="10" t="s">
        <v>349</v>
      </c>
      <c r="F959" s="11">
        <v>600000</v>
      </c>
      <c r="G959" s="11"/>
      <c r="H959" s="11"/>
    </row>
    <row r="960" spans="1:9" x14ac:dyDescent="0.2">
      <c r="D960" s="9">
        <v>20240105</v>
      </c>
      <c r="E960" s="10" t="s">
        <v>350</v>
      </c>
      <c r="F960" s="11"/>
      <c r="G960" s="11">
        <v>1500000</v>
      </c>
      <c r="H960" s="11"/>
    </row>
    <row r="961" spans="4:8" x14ac:dyDescent="0.2">
      <c r="D961" s="9">
        <v>20240114</v>
      </c>
      <c r="E961" s="10" t="s">
        <v>351</v>
      </c>
      <c r="F961" s="11"/>
      <c r="G961" s="11">
        <v>200000</v>
      </c>
      <c r="H961" s="11"/>
    </row>
    <row r="962" spans="4:8" x14ac:dyDescent="0.2">
      <c r="D962" s="9">
        <v>20240125</v>
      </c>
      <c r="E962" s="10" t="s">
        <v>352</v>
      </c>
      <c r="F962" s="11"/>
      <c r="G962" s="11">
        <v>5000000</v>
      </c>
      <c r="H962" s="11"/>
    </row>
    <row r="963" spans="4:8" x14ac:dyDescent="0.2">
      <c r="D963" s="9">
        <v>20240128</v>
      </c>
      <c r="E963" s="10" t="s">
        <v>353</v>
      </c>
      <c r="F963" s="11"/>
      <c r="G963" s="11">
        <v>2000000</v>
      </c>
      <c r="H963" s="11"/>
    </row>
    <row r="964" spans="4:8" x14ac:dyDescent="0.2">
      <c r="D964" s="9">
        <v>20240131</v>
      </c>
      <c r="E964" s="10" t="s">
        <v>354</v>
      </c>
      <c r="F964" s="11">
        <v>700000</v>
      </c>
      <c r="G964" s="11"/>
      <c r="H964" s="11"/>
    </row>
    <row r="965" spans="4:8" x14ac:dyDescent="0.2">
      <c r="D965" s="9">
        <v>20240156</v>
      </c>
      <c r="E965" s="10" t="s">
        <v>355</v>
      </c>
      <c r="F965" s="11">
        <v>3500000</v>
      </c>
      <c r="G965" s="11"/>
      <c r="H965" s="11"/>
    </row>
    <row r="966" spans="4:8" x14ac:dyDescent="0.2">
      <c r="D966" s="9">
        <v>20240240</v>
      </c>
      <c r="E966" s="10" t="s">
        <v>356</v>
      </c>
      <c r="F966" s="11">
        <v>2000000</v>
      </c>
      <c r="G966" s="11"/>
      <c r="H966" s="11"/>
    </row>
    <row r="967" spans="4:8" x14ac:dyDescent="0.2">
      <c r="D967" s="9">
        <v>20250088</v>
      </c>
      <c r="E967" s="10" t="s">
        <v>357</v>
      </c>
      <c r="F967" s="11">
        <v>200000</v>
      </c>
      <c r="G967" s="11"/>
      <c r="H967" s="11"/>
    </row>
    <row r="968" spans="4:8" x14ac:dyDescent="0.2">
      <c r="D968" s="9">
        <v>20250122</v>
      </c>
      <c r="E968" s="10" t="s">
        <v>358</v>
      </c>
      <c r="F968" s="11">
        <v>280000</v>
      </c>
      <c r="G968" s="11"/>
      <c r="H968" s="11"/>
    </row>
    <row r="969" spans="4:8" x14ac:dyDescent="0.2">
      <c r="D969" s="9">
        <v>20250147</v>
      </c>
      <c r="E969" s="10" t="s">
        <v>359</v>
      </c>
      <c r="F969" s="11"/>
      <c r="G969" s="11"/>
      <c r="H969" s="11">
        <v>400000</v>
      </c>
    </row>
    <row r="970" spans="4:8" x14ac:dyDescent="0.2">
      <c r="D970" s="9">
        <v>20250148</v>
      </c>
      <c r="E970" s="10" t="s">
        <v>360</v>
      </c>
      <c r="F970" s="11"/>
      <c r="G970" s="11"/>
      <c r="H970" s="11">
        <v>300000</v>
      </c>
    </row>
    <row r="971" spans="4:8" x14ac:dyDescent="0.2">
      <c r="D971" s="9">
        <v>20250157</v>
      </c>
      <c r="E971" s="10" t="s">
        <v>361</v>
      </c>
      <c r="F971" s="11"/>
      <c r="G971" s="11"/>
      <c r="H971" s="11">
        <v>1000000</v>
      </c>
    </row>
    <row r="972" spans="4:8" x14ac:dyDescent="0.2">
      <c r="D972" s="9">
        <v>20250159</v>
      </c>
      <c r="E972" s="10" t="s">
        <v>362</v>
      </c>
      <c r="F972" s="11"/>
      <c r="G972" s="11"/>
      <c r="H972" s="11">
        <v>150000</v>
      </c>
    </row>
    <row r="973" spans="4:8" x14ac:dyDescent="0.2">
      <c r="D973" s="9">
        <v>20250160</v>
      </c>
      <c r="E973" s="10" t="s">
        <v>363</v>
      </c>
      <c r="F973" s="11"/>
      <c r="G973" s="11"/>
      <c r="H973" s="11">
        <v>200000</v>
      </c>
    </row>
    <row r="974" spans="4:8" x14ac:dyDescent="0.2">
      <c r="D974" s="9">
        <v>20250161</v>
      </c>
      <c r="E974" s="10" t="s">
        <v>364</v>
      </c>
      <c r="F974" s="11"/>
      <c r="G974" s="11"/>
      <c r="H974" s="11">
        <v>1000000</v>
      </c>
    </row>
    <row r="975" spans="4:8" x14ac:dyDescent="0.2">
      <c r="D975" s="9">
        <v>20250166</v>
      </c>
      <c r="E975" s="10" t="s">
        <v>365</v>
      </c>
      <c r="F975" s="11"/>
      <c r="G975" s="11">
        <v>100000</v>
      </c>
      <c r="H975" s="11"/>
    </row>
    <row r="976" spans="4:8" x14ac:dyDescent="0.2">
      <c r="D976" s="9">
        <v>20250181</v>
      </c>
      <c r="E976" s="10" t="s">
        <v>366</v>
      </c>
      <c r="F976" s="11">
        <v>36000</v>
      </c>
      <c r="G976" s="11"/>
      <c r="H976" s="11"/>
    </row>
    <row r="977" spans="1:9" x14ac:dyDescent="0.2">
      <c r="D977" s="9">
        <v>20250182</v>
      </c>
      <c r="E977" s="10" t="s">
        <v>367</v>
      </c>
      <c r="F977" s="11">
        <v>30000</v>
      </c>
      <c r="G977" s="11"/>
      <c r="H977" s="11"/>
    </row>
    <row r="978" spans="1:9" x14ac:dyDescent="0.2">
      <c r="D978" s="9">
        <v>20250226</v>
      </c>
      <c r="E978" s="10" t="s">
        <v>368</v>
      </c>
      <c r="F978" s="11">
        <v>2000000</v>
      </c>
      <c r="G978" s="11">
        <v>13000000</v>
      </c>
      <c r="H978" s="11">
        <v>7000000</v>
      </c>
    </row>
    <row r="979" spans="1:9" x14ac:dyDescent="0.2">
      <c r="D979" s="9">
        <v>20250228</v>
      </c>
      <c r="E979" s="10" t="s">
        <v>369</v>
      </c>
      <c r="F979" s="11">
        <v>100000</v>
      </c>
      <c r="G979" s="11"/>
      <c r="H979" s="11">
        <v>50000</v>
      </c>
    </row>
    <row r="980" spans="1:9" x14ac:dyDescent="0.2">
      <c r="D980" s="9">
        <v>20250268</v>
      </c>
      <c r="E980" s="10" t="s">
        <v>371</v>
      </c>
      <c r="F980" s="11"/>
      <c r="G980" s="11">
        <v>250000</v>
      </c>
      <c r="H980" s="11"/>
    </row>
    <row r="981" spans="1:9" x14ac:dyDescent="0.2">
      <c r="D981" s="9">
        <v>20250269</v>
      </c>
      <c r="E981" s="10" t="s">
        <v>372</v>
      </c>
      <c r="F981" s="11">
        <v>90000</v>
      </c>
      <c r="G981" s="11">
        <v>250000</v>
      </c>
      <c r="H981" s="11"/>
    </row>
    <row r="982" spans="1:9" x14ac:dyDescent="0.2">
      <c r="D982" s="9">
        <v>20250271</v>
      </c>
      <c r="E982" s="10" t="s">
        <v>373</v>
      </c>
      <c r="F982" s="11">
        <v>400000</v>
      </c>
      <c r="G982" s="11">
        <v>400000</v>
      </c>
      <c r="H982" s="11">
        <v>800000</v>
      </c>
    </row>
    <row r="983" spans="1:9" x14ac:dyDescent="0.2">
      <c r="D983" s="9">
        <v>20250276</v>
      </c>
      <c r="E983" s="10" t="s">
        <v>374</v>
      </c>
      <c r="F983" s="11"/>
      <c r="G983" s="11"/>
      <c r="H983" s="11">
        <v>800000</v>
      </c>
    </row>
    <row r="984" spans="1:9" x14ac:dyDescent="0.2">
      <c r="D984" s="9">
        <v>20250277</v>
      </c>
      <c r="E984" s="10" t="s">
        <v>375</v>
      </c>
      <c r="F984" s="11">
        <v>200000</v>
      </c>
      <c r="G984" s="11">
        <v>400000</v>
      </c>
      <c r="H984" s="11">
        <v>400000</v>
      </c>
    </row>
    <row r="985" spans="1:9" x14ac:dyDescent="0.2">
      <c r="D985" s="9">
        <v>20250278</v>
      </c>
      <c r="E985" s="10" t="s">
        <v>376</v>
      </c>
      <c r="F985" s="11">
        <v>50000</v>
      </c>
      <c r="G985" s="11">
        <v>200000</v>
      </c>
      <c r="H985" s="11">
        <v>200000</v>
      </c>
    </row>
    <row r="986" spans="1:9" x14ac:dyDescent="0.2">
      <c r="D986" s="9">
        <v>20250279</v>
      </c>
      <c r="E986" s="10" t="s">
        <v>377</v>
      </c>
      <c r="F986" s="11">
        <v>200000</v>
      </c>
      <c r="G986" s="11"/>
      <c r="H986" s="11"/>
    </row>
    <row r="987" spans="1:9" x14ac:dyDescent="0.2">
      <c r="D987" s="9">
        <v>20250296</v>
      </c>
      <c r="E987" s="10" t="s">
        <v>378</v>
      </c>
      <c r="F987" s="11">
        <v>102000</v>
      </c>
      <c r="G987" s="11"/>
      <c r="H987" s="11"/>
    </row>
    <row r="988" spans="1:9" x14ac:dyDescent="0.2">
      <c r="D988" s="9">
        <v>20250298</v>
      </c>
      <c r="E988" s="10" t="s">
        <v>379</v>
      </c>
      <c r="F988" s="11">
        <v>102000</v>
      </c>
      <c r="G988" s="11"/>
      <c r="H988" s="11"/>
    </row>
    <row r="989" spans="1:9" x14ac:dyDescent="0.2">
      <c r="F989" s="11"/>
      <c r="G989" s="11"/>
      <c r="H989" s="11"/>
    </row>
    <row r="990" spans="1:9" s="12" customFormat="1" ht="10.5" customHeight="1" x14ac:dyDescent="0.2">
      <c r="A990" s="91">
        <f>B994</f>
        <v>0</v>
      </c>
      <c r="B990" s="91"/>
      <c r="C990" s="91"/>
      <c r="D990" s="99" t="s">
        <v>151</v>
      </c>
      <c r="E990" s="99"/>
      <c r="F990" s="99"/>
      <c r="G990" s="99"/>
      <c r="H990" s="99"/>
      <c r="I990" s="99"/>
    </row>
    <row r="991" spans="1:9" s="92" customFormat="1" ht="45" x14ac:dyDescent="0.2">
      <c r="D991" s="34" t="s">
        <v>8</v>
      </c>
      <c r="E991" s="35" t="s">
        <v>9</v>
      </c>
      <c r="F991" s="36" t="s">
        <v>719</v>
      </c>
      <c r="G991" s="36" t="s">
        <v>720</v>
      </c>
      <c r="H991" s="36" t="s">
        <v>721</v>
      </c>
      <c r="I991" s="35" t="s">
        <v>10</v>
      </c>
    </row>
    <row r="992" spans="1:9" x14ac:dyDescent="0.2">
      <c r="D992" s="9">
        <v>20250303</v>
      </c>
      <c r="E992" s="10" t="s">
        <v>380</v>
      </c>
      <c r="F992" s="11">
        <v>46000</v>
      </c>
      <c r="G992" s="11"/>
      <c r="H992" s="11"/>
    </row>
    <row r="993" spans="1:9" x14ac:dyDescent="0.2">
      <c r="D993" s="9">
        <v>20250305</v>
      </c>
      <c r="E993" s="10" t="s">
        <v>381</v>
      </c>
      <c r="F993" s="11">
        <v>46000</v>
      </c>
      <c r="G993" s="11"/>
      <c r="H993" s="11"/>
    </row>
    <row r="994" spans="1:9" x14ac:dyDescent="0.2">
      <c r="D994" s="9">
        <v>20250325</v>
      </c>
      <c r="E994" s="10" t="s">
        <v>382</v>
      </c>
      <c r="F994" s="11">
        <v>50000</v>
      </c>
      <c r="G994" s="11"/>
      <c r="H994" s="11"/>
    </row>
    <row r="995" spans="1:9" x14ac:dyDescent="0.2">
      <c r="D995" s="9">
        <v>20250335</v>
      </c>
      <c r="E995" s="10" t="s">
        <v>383</v>
      </c>
      <c r="F995" s="11">
        <v>200000</v>
      </c>
      <c r="G995" s="11"/>
      <c r="H995" s="11"/>
    </row>
    <row r="996" spans="1:9" x14ac:dyDescent="0.2">
      <c r="D996" s="9">
        <v>20250336</v>
      </c>
      <c r="E996" s="10" t="s">
        <v>384</v>
      </c>
      <c r="F996" s="11">
        <v>250000</v>
      </c>
      <c r="G996" s="11"/>
      <c r="H996" s="11"/>
    </row>
    <row r="997" spans="1:9" x14ac:dyDescent="0.2">
      <c r="D997" s="9">
        <v>20250337</v>
      </c>
      <c r="E997" s="10" t="s">
        <v>385</v>
      </c>
      <c r="F997" s="11">
        <v>350000</v>
      </c>
      <c r="G997" s="11"/>
      <c r="H997" s="11"/>
    </row>
    <row r="998" spans="1:9" x14ac:dyDescent="0.2">
      <c r="D998" s="9">
        <v>20250338</v>
      </c>
      <c r="E998" s="10" t="s">
        <v>386</v>
      </c>
      <c r="F998" s="11">
        <v>420000</v>
      </c>
      <c r="G998" s="11"/>
      <c r="H998" s="11"/>
    </row>
    <row r="999" spans="1:9" x14ac:dyDescent="0.2">
      <c r="D999" s="9">
        <v>20250251</v>
      </c>
      <c r="E999" s="10" t="s">
        <v>370</v>
      </c>
      <c r="F999" s="11">
        <v>300000</v>
      </c>
      <c r="G999" s="11"/>
      <c r="H999" s="11"/>
    </row>
    <row r="1000" spans="1:9" x14ac:dyDescent="0.2">
      <c r="F1000" s="11"/>
      <c r="G1000" s="11"/>
      <c r="H1000" s="11"/>
    </row>
    <row r="1001" spans="1:9" x14ac:dyDescent="0.2">
      <c r="C1001" s="10" t="s">
        <v>13</v>
      </c>
      <c r="E1001" s="19" t="str">
        <f>C1001</f>
        <v>Capital Total</v>
      </c>
      <c r="F1001" s="20">
        <f>SUM(F906:F1000)</f>
        <v>97464160</v>
      </c>
      <c r="G1001" s="20">
        <f>SUM(G906:G1000)</f>
        <v>56800000</v>
      </c>
      <c r="H1001" s="20">
        <f>SUM(H906:H1000)</f>
        <v>36250000</v>
      </c>
    </row>
    <row r="1002" spans="1:9" x14ac:dyDescent="0.2">
      <c r="E1002" s="23"/>
      <c r="F1002" s="11"/>
      <c r="G1002" s="11"/>
      <c r="H1002" s="11"/>
    </row>
    <row r="1003" spans="1:9" s="12" customFormat="1" x14ac:dyDescent="0.2">
      <c r="A1003" s="91" t="str">
        <f>B1006</f>
        <v>WARD 994</v>
      </c>
      <c r="B1003" s="91"/>
      <c r="C1003" s="91"/>
      <c r="D1003" s="99" t="str">
        <f>A1003</f>
        <v>WARD 994</v>
      </c>
      <c r="E1003" s="99"/>
      <c r="F1003" s="99"/>
      <c r="G1003" s="99"/>
      <c r="H1003" s="99"/>
      <c r="I1003" s="99"/>
    </row>
    <row r="1004" spans="1:9" s="92" customFormat="1" ht="45" x14ac:dyDescent="0.2">
      <c r="D1004" s="34" t="s">
        <v>8</v>
      </c>
      <c r="E1004" s="35" t="s">
        <v>9</v>
      </c>
      <c r="F1004" s="36" t="s">
        <v>719</v>
      </c>
      <c r="G1004" s="36" t="s">
        <v>720</v>
      </c>
      <c r="H1004" s="36" t="s">
        <v>721</v>
      </c>
      <c r="I1004" s="35" t="s">
        <v>10</v>
      </c>
    </row>
    <row r="1005" spans="1:9" s="12" customFormat="1" x14ac:dyDescent="0.2">
      <c r="D1005" s="9">
        <v>20190175</v>
      </c>
      <c r="E1005" s="10" t="s">
        <v>387</v>
      </c>
      <c r="F1005" s="11">
        <v>38622000</v>
      </c>
      <c r="G1005" s="11">
        <v>25939320</v>
      </c>
      <c r="H1005" s="11">
        <v>27495680</v>
      </c>
      <c r="I1005" s="94"/>
    </row>
    <row r="1006" spans="1:9" x14ac:dyDescent="0.2">
      <c r="A1006" s="10">
        <v>994</v>
      </c>
      <c r="B1006" s="10" t="s">
        <v>136</v>
      </c>
      <c r="C1006" s="10" t="s">
        <v>12</v>
      </c>
      <c r="D1006" s="9">
        <v>20210277</v>
      </c>
      <c r="E1006" s="10" t="s">
        <v>388</v>
      </c>
      <c r="F1006" s="11">
        <v>10000000</v>
      </c>
      <c r="G1006" s="11">
        <v>6000000</v>
      </c>
      <c r="H1006" s="11">
        <v>6360000</v>
      </c>
    </row>
    <row r="1007" spans="1:9" x14ac:dyDescent="0.2">
      <c r="D1007" s="9">
        <v>20240242</v>
      </c>
      <c r="E1007" s="10" t="s">
        <v>389</v>
      </c>
      <c r="F1007" s="11">
        <v>3000000</v>
      </c>
      <c r="G1007" s="11"/>
      <c r="H1007" s="11"/>
    </row>
    <row r="1008" spans="1:9" x14ac:dyDescent="0.2">
      <c r="D1008" s="9">
        <v>20250210</v>
      </c>
      <c r="E1008" s="10" t="s">
        <v>390</v>
      </c>
      <c r="F1008" s="11">
        <v>2000000</v>
      </c>
      <c r="G1008" s="11">
        <v>2000000</v>
      </c>
      <c r="H1008" s="11"/>
    </row>
    <row r="1009" spans="1:9" x14ac:dyDescent="0.2">
      <c r="F1009" s="11"/>
      <c r="G1009" s="11"/>
      <c r="H1009" s="11"/>
    </row>
    <row r="1010" spans="1:9" x14ac:dyDescent="0.2">
      <c r="C1010" s="10" t="s">
        <v>13</v>
      </c>
      <c r="E1010" s="19" t="str">
        <f>C1010</f>
        <v>Capital Total</v>
      </c>
      <c r="F1010" s="20">
        <f>SUM(F1005:F1009)</f>
        <v>53622000</v>
      </c>
      <c r="G1010" s="20">
        <f>SUM(G1005:G1009)</f>
        <v>33939320</v>
      </c>
      <c r="H1010" s="20">
        <f>SUM(H1005:H1009)</f>
        <v>33855680</v>
      </c>
    </row>
    <row r="1011" spans="1:9" x14ac:dyDescent="0.2">
      <c r="E1011" s="23"/>
      <c r="F1011" s="11"/>
      <c r="G1011" s="11"/>
      <c r="H1011" s="11"/>
    </row>
    <row r="1012" spans="1:9" s="12" customFormat="1" x14ac:dyDescent="0.2">
      <c r="A1012" s="91" t="str">
        <f>B1014</f>
        <v>WARD 995</v>
      </c>
      <c r="B1012" s="91"/>
      <c r="C1012" s="91"/>
      <c r="D1012" s="99" t="str">
        <f>A1012</f>
        <v>WARD 995</v>
      </c>
      <c r="E1012" s="99"/>
      <c r="F1012" s="99"/>
      <c r="G1012" s="99"/>
      <c r="H1012" s="99"/>
      <c r="I1012" s="99"/>
    </row>
    <row r="1013" spans="1:9" s="92" customFormat="1" ht="45" x14ac:dyDescent="0.2">
      <c r="D1013" s="34" t="s">
        <v>8</v>
      </c>
      <c r="E1013" s="35" t="s">
        <v>9</v>
      </c>
      <c r="F1013" s="36" t="s">
        <v>719</v>
      </c>
      <c r="G1013" s="36" t="s">
        <v>720</v>
      </c>
      <c r="H1013" s="36" t="s">
        <v>721</v>
      </c>
      <c r="I1013" s="35" t="s">
        <v>10</v>
      </c>
    </row>
    <row r="1014" spans="1:9" x14ac:dyDescent="0.2">
      <c r="A1014" s="10">
        <v>995</v>
      </c>
      <c r="B1014" s="10" t="s">
        <v>137</v>
      </c>
      <c r="C1014" s="10" t="s">
        <v>12</v>
      </c>
      <c r="D1014" s="9">
        <v>20170142</v>
      </c>
      <c r="E1014" s="10" t="s">
        <v>391</v>
      </c>
      <c r="F1014" s="11">
        <v>550000</v>
      </c>
      <c r="G1014" s="11">
        <v>2200000</v>
      </c>
      <c r="H1014" s="11">
        <v>5500000</v>
      </c>
    </row>
    <row r="1015" spans="1:9" x14ac:dyDescent="0.2">
      <c r="D1015" s="9">
        <v>20190232</v>
      </c>
      <c r="E1015" s="10" t="s">
        <v>392</v>
      </c>
      <c r="F1015" s="11">
        <v>3956350</v>
      </c>
      <c r="G1015" s="11"/>
      <c r="H1015" s="11"/>
    </row>
    <row r="1016" spans="1:9" x14ac:dyDescent="0.2">
      <c r="D1016" s="9">
        <v>20190244</v>
      </c>
      <c r="E1016" s="10" t="s">
        <v>393</v>
      </c>
      <c r="F1016" s="11">
        <v>8000000</v>
      </c>
      <c r="G1016" s="11">
        <v>7000000</v>
      </c>
      <c r="H1016" s="11">
        <v>7000000</v>
      </c>
    </row>
    <row r="1017" spans="1:9" x14ac:dyDescent="0.2">
      <c r="D1017" s="9">
        <v>20190307</v>
      </c>
      <c r="E1017" s="10" t="s">
        <v>394</v>
      </c>
      <c r="F1017" s="11">
        <v>8100000</v>
      </c>
      <c r="G1017" s="11">
        <v>4500000</v>
      </c>
      <c r="H1017" s="11">
        <v>3000000</v>
      </c>
    </row>
    <row r="1018" spans="1:9" x14ac:dyDescent="0.2">
      <c r="D1018" s="9">
        <v>20190316</v>
      </c>
      <c r="E1018" s="10" t="s">
        <v>395</v>
      </c>
      <c r="F1018" s="11">
        <v>30000000</v>
      </c>
      <c r="G1018" s="11">
        <v>30000000</v>
      </c>
      <c r="H1018" s="11"/>
    </row>
    <row r="1019" spans="1:9" x14ac:dyDescent="0.2">
      <c r="D1019" s="9">
        <v>20200055</v>
      </c>
      <c r="E1019" s="10" t="s">
        <v>396</v>
      </c>
      <c r="F1019" s="11">
        <v>10000000</v>
      </c>
      <c r="G1019" s="11">
        <v>10000000</v>
      </c>
      <c r="H1019" s="11">
        <v>10000000</v>
      </c>
    </row>
    <row r="1020" spans="1:9" x14ac:dyDescent="0.2">
      <c r="D1020" s="9">
        <v>20200056</v>
      </c>
      <c r="E1020" s="10" t="s">
        <v>397</v>
      </c>
      <c r="F1020" s="11">
        <v>5000000</v>
      </c>
      <c r="G1020" s="11">
        <v>5000000</v>
      </c>
      <c r="H1020" s="11">
        <v>5000000</v>
      </c>
    </row>
    <row r="1021" spans="1:9" x14ac:dyDescent="0.2">
      <c r="D1021" s="9">
        <v>20200131</v>
      </c>
      <c r="E1021" s="10" t="s">
        <v>398</v>
      </c>
      <c r="F1021" s="11">
        <v>3000000</v>
      </c>
      <c r="G1021" s="11">
        <v>4500000</v>
      </c>
      <c r="H1021" s="11">
        <v>3500000</v>
      </c>
    </row>
    <row r="1022" spans="1:9" x14ac:dyDescent="0.2">
      <c r="D1022" s="9">
        <v>20200213</v>
      </c>
      <c r="E1022" s="10" t="s">
        <v>399</v>
      </c>
      <c r="F1022" s="11">
        <v>35289700</v>
      </c>
      <c r="G1022" s="11">
        <v>31999080</v>
      </c>
      <c r="H1022" s="11">
        <v>33919030</v>
      </c>
    </row>
    <row r="1023" spans="1:9" x14ac:dyDescent="0.2">
      <c r="D1023" s="9">
        <v>20210198</v>
      </c>
      <c r="E1023" s="10" t="s">
        <v>401</v>
      </c>
      <c r="F1023" s="11"/>
      <c r="G1023" s="11">
        <v>2000000</v>
      </c>
      <c r="H1023" s="11"/>
    </row>
    <row r="1024" spans="1:9" x14ac:dyDescent="0.2">
      <c r="D1024" s="9">
        <v>20210231</v>
      </c>
      <c r="E1024" s="10" t="s">
        <v>402</v>
      </c>
      <c r="F1024" s="11">
        <v>10000000</v>
      </c>
      <c r="G1024" s="11"/>
      <c r="H1024" s="11"/>
    </row>
    <row r="1025" spans="4:8" x14ac:dyDescent="0.2">
      <c r="D1025" s="9">
        <v>20220168</v>
      </c>
      <c r="E1025" s="10" t="s">
        <v>403</v>
      </c>
      <c r="F1025" s="11">
        <v>10000000</v>
      </c>
      <c r="G1025" s="11"/>
      <c r="H1025" s="11"/>
    </row>
    <row r="1026" spans="4:8" x14ac:dyDescent="0.2">
      <c r="D1026" s="9">
        <v>20220171</v>
      </c>
      <c r="E1026" s="10" t="s">
        <v>404</v>
      </c>
      <c r="F1026" s="11">
        <v>750000</v>
      </c>
      <c r="G1026" s="11"/>
      <c r="H1026" s="11"/>
    </row>
    <row r="1027" spans="4:8" x14ac:dyDescent="0.2">
      <c r="D1027" s="9">
        <v>20230177</v>
      </c>
      <c r="E1027" s="10" t="s">
        <v>405</v>
      </c>
      <c r="F1027" s="11">
        <f>1000000-1000000</f>
        <v>0</v>
      </c>
      <c r="G1027" s="11">
        <f>500000-500000</f>
        <v>0</v>
      </c>
      <c r="H1027" s="11"/>
    </row>
    <row r="1028" spans="4:8" x14ac:dyDescent="0.2">
      <c r="D1028" s="9">
        <v>20230178</v>
      </c>
      <c r="E1028" s="10" t="s">
        <v>406</v>
      </c>
      <c r="F1028" s="11">
        <v>800000</v>
      </c>
      <c r="G1028" s="11">
        <v>500000</v>
      </c>
      <c r="H1028" s="11"/>
    </row>
    <row r="1029" spans="4:8" x14ac:dyDescent="0.2">
      <c r="D1029" s="9">
        <v>20230179</v>
      </c>
      <c r="E1029" s="10" t="s">
        <v>407</v>
      </c>
      <c r="F1029" s="11">
        <v>6495850</v>
      </c>
      <c r="G1029" s="11">
        <v>1000000</v>
      </c>
      <c r="H1029" s="11"/>
    </row>
    <row r="1030" spans="4:8" x14ac:dyDescent="0.2">
      <c r="D1030" s="9">
        <v>20240089</v>
      </c>
      <c r="E1030" s="10" t="s">
        <v>408</v>
      </c>
      <c r="F1030" s="11"/>
      <c r="G1030" s="11">
        <v>3000000</v>
      </c>
      <c r="H1030" s="11"/>
    </row>
    <row r="1031" spans="4:8" x14ac:dyDescent="0.2">
      <c r="D1031" s="9">
        <v>20240091</v>
      </c>
      <c r="E1031" s="10" t="s">
        <v>409</v>
      </c>
      <c r="F1031" s="11">
        <v>2000000</v>
      </c>
      <c r="G1031" s="11">
        <v>3000000</v>
      </c>
      <c r="H1031" s="11">
        <v>3000000</v>
      </c>
    </row>
    <row r="1032" spans="4:8" x14ac:dyDescent="0.2">
      <c r="D1032" s="9">
        <v>20240093</v>
      </c>
      <c r="E1032" s="10" t="s">
        <v>410</v>
      </c>
      <c r="F1032" s="11"/>
      <c r="G1032" s="11">
        <v>1200000</v>
      </c>
      <c r="H1032" s="11"/>
    </row>
    <row r="1033" spans="4:8" x14ac:dyDescent="0.2">
      <c r="D1033" s="9">
        <v>20240095</v>
      </c>
      <c r="E1033" s="10" t="s">
        <v>411</v>
      </c>
      <c r="F1033" s="11">
        <v>1750000</v>
      </c>
      <c r="G1033" s="11">
        <v>2000000</v>
      </c>
      <c r="H1033" s="11">
        <v>650000</v>
      </c>
    </row>
    <row r="1034" spans="4:8" x14ac:dyDescent="0.2">
      <c r="D1034" s="9">
        <v>20240100</v>
      </c>
      <c r="E1034" s="10" t="s">
        <v>412</v>
      </c>
      <c r="F1034" s="11"/>
      <c r="G1034" s="11">
        <v>800000</v>
      </c>
      <c r="H1034" s="11"/>
    </row>
    <row r="1035" spans="4:8" x14ac:dyDescent="0.2">
      <c r="D1035" s="9">
        <v>20240126</v>
      </c>
      <c r="E1035" s="10" t="s">
        <v>413</v>
      </c>
      <c r="F1035" s="11"/>
      <c r="G1035" s="11">
        <v>3000000</v>
      </c>
      <c r="H1035" s="11"/>
    </row>
    <row r="1036" spans="4:8" x14ac:dyDescent="0.2">
      <c r="D1036" s="9">
        <v>20250124</v>
      </c>
      <c r="E1036" s="10" t="s">
        <v>414</v>
      </c>
      <c r="F1036" s="11">
        <v>450000</v>
      </c>
      <c r="G1036" s="11"/>
      <c r="H1036" s="11"/>
    </row>
    <row r="1037" spans="4:8" x14ac:dyDescent="0.2">
      <c r="D1037" s="9">
        <v>20250125</v>
      </c>
      <c r="E1037" s="10" t="s">
        <v>415</v>
      </c>
      <c r="F1037" s="11">
        <v>550000</v>
      </c>
      <c r="G1037" s="11"/>
      <c r="H1037" s="11"/>
    </row>
    <row r="1038" spans="4:8" x14ac:dyDescent="0.2">
      <c r="D1038" s="9">
        <v>20250153</v>
      </c>
      <c r="E1038" s="10" t="s">
        <v>416</v>
      </c>
      <c r="F1038" s="11"/>
      <c r="G1038" s="11"/>
      <c r="H1038" s="11">
        <v>2500000</v>
      </c>
    </row>
    <row r="1039" spans="4:8" x14ac:dyDescent="0.2">
      <c r="D1039" s="9">
        <v>20250154</v>
      </c>
      <c r="E1039" s="10" t="s">
        <v>417</v>
      </c>
      <c r="F1039" s="11"/>
      <c r="G1039" s="11"/>
      <c r="H1039" s="11">
        <v>1000000</v>
      </c>
    </row>
    <row r="1040" spans="4:8" x14ac:dyDescent="0.2">
      <c r="D1040" s="9">
        <v>20250155</v>
      </c>
      <c r="E1040" s="10" t="s">
        <v>418</v>
      </c>
      <c r="F1040" s="11"/>
      <c r="G1040" s="11"/>
      <c r="H1040" s="11">
        <v>4000000</v>
      </c>
    </row>
    <row r="1041" spans="1:9" x14ac:dyDescent="0.2">
      <c r="D1041" s="9">
        <v>20250248</v>
      </c>
      <c r="E1041" s="10" t="s">
        <v>419</v>
      </c>
      <c r="F1041" s="11">
        <v>100000</v>
      </c>
      <c r="G1041" s="11"/>
      <c r="H1041" s="11"/>
    </row>
    <row r="1042" spans="1:9" x14ac:dyDescent="0.2">
      <c r="D1042" s="9">
        <v>20250297</v>
      </c>
      <c r="E1042" s="10" t="s">
        <v>420</v>
      </c>
      <c r="F1042" s="11"/>
      <c r="G1042" s="11">
        <v>2173910</v>
      </c>
      <c r="H1042" s="11"/>
    </row>
    <row r="1043" spans="1:9" x14ac:dyDescent="0.2">
      <c r="F1043" s="11"/>
      <c r="G1043" s="11"/>
      <c r="H1043" s="11"/>
    </row>
    <row r="1044" spans="1:9" x14ac:dyDescent="0.2">
      <c r="C1044" s="10" t="s">
        <v>13</v>
      </c>
      <c r="E1044" s="19" t="str">
        <f>C1044</f>
        <v>Capital Total</v>
      </c>
      <c r="F1044" s="20">
        <f>SUM(F1014:F1043)</f>
        <v>136791900</v>
      </c>
      <c r="G1044" s="20">
        <f>SUM(G1014:G1043)</f>
        <v>113872990</v>
      </c>
      <c r="H1044" s="20">
        <f>SUM(H1014:H1043)</f>
        <v>79069030</v>
      </c>
    </row>
    <row r="1045" spans="1:9" x14ac:dyDescent="0.2">
      <c r="E1045" s="23"/>
      <c r="F1045" s="11"/>
      <c r="G1045" s="11"/>
      <c r="H1045" s="11"/>
    </row>
    <row r="1046" spans="1:9" s="12" customFormat="1" x14ac:dyDescent="0.2">
      <c r="A1046" s="91" t="str">
        <f>B1048</f>
        <v>WARD 996</v>
      </c>
      <c r="B1046" s="91"/>
      <c r="C1046" s="91"/>
      <c r="D1046" s="99" t="str">
        <f>A1046</f>
        <v>WARD 996</v>
      </c>
      <c r="E1046" s="99"/>
      <c r="F1046" s="99"/>
      <c r="G1046" s="99"/>
      <c r="H1046" s="99"/>
      <c r="I1046" s="99"/>
    </row>
    <row r="1047" spans="1:9" s="92" customFormat="1" ht="45" x14ac:dyDescent="0.2">
      <c r="D1047" s="34" t="s">
        <v>8</v>
      </c>
      <c r="E1047" s="35" t="s">
        <v>9</v>
      </c>
      <c r="F1047" s="36" t="s">
        <v>719</v>
      </c>
      <c r="G1047" s="36" t="s">
        <v>720</v>
      </c>
      <c r="H1047" s="36" t="s">
        <v>721</v>
      </c>
      <c r="I1047" s="35" t="s">
        <v>10</v>
      </c>
    </row>
    <row r="1048" spans="1:9" x14ac:dyDescent="0.2">
      <c r="A1048" s="10">
        <v>996</v>
      </c>
      <c r="B1048" s="10" t="s">
        <v>138</v>
      </c>
      <c r="C1048" s="10" t="s">
        <v>12</v>
      </c>
      <c r="D1048" s="9">
        <v>20182605</v>
      </c>
      <c r="E1048" s="10" t="s">
        <v>833</v>
      </c>
      <c r="F1048" s="11">
        <f>20000000-1900000</f>
        <v>18100000</v>
      </c>
      <c r="G1048" s="11"/>
      <c r="H1048" s="11"/>
    </row>
    <row r="1049" spans="1:9" x14ac:dyDescent="0.2">
      <c r="D1049" s="9">
        <v>20182612</v>
      </c>
      <c r="E1049" s="10" t="s">
        <v>421</v>
      </c>
      <c r="F1049" s="11">
        <v>300000</v>
      </c>
      <c r="G1049" s="11"/>
      <c r="H1049" s="11"/>
    </row>
    <row r="1050" spans="1:9" x14ac:dyDescent="0.2">
      <c r="D1050" s="9">
        <v>20190264</v>
      </c>
      <c r="E1050" s="10" t="s">
        <v>422</v>
      </c>
      <c r="F1050" s="11">
        <v>1400000</v>
      </c>
      <c r="G1050" s="11">
        <v>1000000</v>
      </c>
      <c r="H1050" s="11">
        <v>1500000</v>
      </c>
    </row>
    <row r="1051" spans="1:9" x14ac:dyDescent="0.2">
      <c r="D1051" s="9">
        <v>20190298</v>
      </c>
      <c r="E1051" s="10" t="s">
        <v>423</v>
      </c>
      <c r="F1051" s="11">
        <v>200000</v>
      </c>
      <c r="G1051" s="11">
        <v>200000</v>
      </c>
      <c r="H1051" s="11">
        <v>200000</v>
      </c>
    </row>
    <row r="1052" spans="1:9" x14ac:dyDescent="0.2">
      <c r="D1052" s="9">
        <v>20200053</v>
      </c>
      <c r="E1052" s="10" t="s">
        <v>424</v>
      </c>
      <c r="F1052" s="11">
        <v>3000000</v>
      </c>
      <c r="G1052" s="11">
        <v>2000000</v>
      </c>
      <c r="H1052" s="11">
        <v>2000000</v>
      </c>
    </row>
    <row r="1053" spans="1:9" x14ac:dyDescent="0.2">
      <c r="D1053" s="9">
        <v>20200057</v>
      </c>
      <c r="E1053" s="10" t="s">
        <v>425</v>
      </c>
      <c r="F1053" s="11">
        <v>1000000</v>
      </c>
      <c r="G1053" s="11">
        <v>1000000</v>
      </c>
      <c r="H1053" s="11">
        <v>1000000</v>
      </c>
    </row>
    <row r="1054" spans="1:9" x14ac:dyDescent="0.2">
      <c r="D1054" s="9">
        <v>20200106</v>
      </c>
      <c r="E1054" s="10" t="s">
        <v>426</v>
      </c>
      <c r="F1054" s="11">
        <v>1000000</v>
      </c>
      <c r="G1054" s="11">
        <v>1500000</v>
      </c>
      <c r="H1054" s="11">
        <v>1500000</v>
      </c>
    </row>
    <row r="1055" spans="1:9" x14ac:dyDescent="0.2">
      <c r="D1055" s="9">
        <v>20210204</v>
      </c>
      <c r="E1055" s="10" t="s">
        <v>427</v>
      </c>
      <c r="F1055" s="11">
        <v>300000</v>
      </c>
      <c r="G1055" s="11"/>
      <c r="H1055" s="11"/>
    </row>
    <row r="1056" spans="1:9" x14ac:dyDescent="0.2">
      <c r="D1056" s="9">
        <v>20210206</v>
      </c>
      <c r="E1056" s="10" t="s">
        <v>428</v>
      </c>
      <c r="F1056" s="11">
        <v>300000</v>
      </c>
      <c r="G1056" s="11"/>
      <c r="H1056" s="11"/>
    </row>
    <row r="1057" spans="4:8" x14ac:dyDescent="0.2">
      <c r="D1057" s="9">
        <v>20210207</v>
      </c>
      <c r="E1057" s="10" t="s">
        <v>429</v>
      </c>
      <c r="F1057" s="11">
        <v>500000</v>
      </c>
      <c r="G1057" s="11">
        <v>500000</v>
      </c>
      <c r="H1057" s="11"/>
    </row>
    <row r="1058" spans="4:8" x14ac:dyDescent="0.2">
      <c r="D1058" s="9">
        <v>20230115</v>
      </c>
      <c r="E1058" s="10" t="s">
        <v>430</v>
      </c>
      <c r="F1058" s="11">
        <v>1500000</v>
      </c>
      <c r="G1058" s="11">
        <v>2000000</v>
      </c>
      <c r="H1058" s="11">
        <v>1300000</v>
      </c>
    </row>
    <row r="1059" spans="4:8" x14ac:dyDescent="0.2">
      <c r="D1059" s="9">
        <v>20230116</v>
      </c>
      <c r="E1059" s="10" t="s">
        <v>431</v>
      </c>
      <c r="F1059" s="11">
        <v>300000</v>
      </c>
      <c r="G1059" s="11"/>
      <c r="H1059" s="11"/>
    </row>
    <row r="1060" spans="4:8" x14ac:dyDescent="0.2">
      <c r="D1060" s="9">
        <v>20230118</v>
      </c>
      <c r="E1060" s="10" t="s">
        <v>432</v>
      </c>
      <c r="F1060" s="11">
        <v>300000</v>
      </c>
      <c r="G1060" s="11"/>
      <c r="H1060" s="11"/>
    </row>
    <row r="1061" spans="4:8" x14ac:dyDescent="0.2">
      <c r="D1061" s="9">
        <v>20230120</v>
      </c>
      <c r="E1061" s="10" t="s">
        <v>433</v>
      </c>
      <c r="F1061" s="11">
        <v>1000000</v>
      </c>
      <c r="G1061" s="11"/>
      <c r="H1061" s="11"/>
    </row>
    <row r="1062" spans="4:8" x14ac:dyDescent="0.2">
      <c r="D1062" s="9">
        <v>20230121</v>
      </c>
      <c r="E1062" s="10" t="s">
        <v>434</v>
      </c>
      <c r="F1062" s="11">
        <v>300000</v>
      </c>
      <c r="G1062" s="11"/>
      <c r="H1062" s="11"/>
    </row>
    <row r="1063" spans="4:8" x14ac:dyDescent="0.2">
      <c r="D1063" s="9">
        <v>20230161</v>
      </c>
      <c r="E1063" s="10" t="s">
        <v>435</v>
      </c>
      <c r="F1063" s="11">
        <v>500000</v>
      </c>
      <c r="G1063" s="11"/>
      <c r="H1063" s="11"/>
    </row>
    <row r="1064" spans="4:8" x14ac:dyDescent="0.2">
      <c r="D1064" s="9">
        <v>20230171</v>
      </c>
      <c r="E1064" s="10" t="s">
        <v>436</v>
      </c>
      <c r="F1064" s="11">
        <v>500000</v>
      </c>
      <c r="G1064" s="11"/>
      <c r="H1064" s="11">
        <v>500000</v>
      </c>
    </row>
    <row r="1065" spans="4:8" x14ac:dyDescent="0.2">
      <c r="D1065" s="9">
        <v>20240090</v>
      </c>
      <c r="E1065" s="10" t="s">
        <v>437</v>
      </c>
      <c r="F1065" s="11">
        <v>500000</v>
      </c>
      <c r="G1065" s="11"/>
      <c r="H1065" s="11">
        <v>2000000</v>
      </c>
    </row>
    <row r="1066" spans="4:8" x14ac:dyDescent="0.2">
      <c r="D1066" s="9">
        <v>20240092</v>
      </c>
      <c r="E1066" s="10" t="s">
        <v>438</v>
      </c>
      <c r="F1066" s="11"/>
      <c r="G1066" s="11">
        <v>600000</v>
      </c>
      <c r="H1066" s="11"/>
    </row>
    <row r="1067" spans="4:8" x14ac:dyDescent="0.2">
      <c r="D1067" s="9">
        <v>20240094</v>
      </c>
      <c r="E1067" s="10" t="s">
        <v>439</v>
      </c>
      <c r="F1067" s="11"/>
      <c r="G1067" s="11">
        <v>500000</v>
      </c>
      <c r="H1067" s="11"/>
    </row>
    <row r="1068" spans="4:8" x14ac:dyDescent="0.2">
      <c r="D1068" s="9">
        <v>20240099</v>
      </c>
      <c r="E1068" s="10" t="s">
        <v>440</v>
      </c>
      <c r="F1068" s="11"/>
      <c r="G1068" s="11">
        <v>100000</v>
      </c>
      <c r="H1068" s="11"/>
    </row>
    <row r="1069" spans="4:8" x14ac:dyDescent="0.2">
      <c r="D1069" s="9">
        <v>20240103</v>
      </c>
      <c r="E1069" s="10" t="s">
        <v>441</v>
      </c>
      <c r="F1069" s="11"/>
      <c r="G1069" s="11">
        <v>100000</v>
      </c>
      <c r="H1069" s="11"/>
    </row>
    <row r="1070" spans="4:8" x14ac:dyDescent="0.2">
      <c r="D1070" s="9">
        <v>20240104</v>
      </c>
      <c r="E1070" s="10" t="s">
        <v>442</v>
      </c>
      <c r="F1070" s="11"/>
      <c r="G1070" s="11">
        <v>100000</v>
      </c>
      <c r="H1070" s="11"/>
    </row>
    <row r="1071" spans="4:8" x14ac:dyDescent="0.2">
      <c r="D1071" s="9">
        <v>20240112</v>
      </c>
      <c r="E1071" s="10" t="s">
        <v>443</v>
      </c>
      <c r="F1071" s="11"/>
      <c r="G1071" s="11">
        <v>250000</v>
      </c>
      <c r="H1071" s="11"/>
    </row>
    <row r="1072" spans="4:8" x14ac:dyDescent="0.2">
      <c r="D1072" s="9">
        <v>20240113</v>
      </c>
      <c r="E1072" s="10" t="s">
        <v>444</v>
      </c>
      <c r="F1072" s="11"/>
      <c r="G1072" s="11">
        <v>500000</v>
      </c>
      <c r="H1072" s="11"/>
    </row>
    <row r="1073" spans="1:11" x14ac:dyDescent="0.2">
      <c r="D1073" s="9">
        <v>20240136</v>
      </c>
      <c r="E1073" s="10" t="s">
        <v>445</v>
      </c>
      <c r="F1073" s="11">
        <v>1000000</v>
      </c>
      <c r="G1073" s="11">
        <v>2000000</v>
      </c>
      <c r="H1073" s="11"/>
    </row>
    <row r="1074" spans="1:11" x14ac:dyDescent="0.2">
      <c r="D1074" s="9">
        <v>20240157</v>
      </c>
      <c r="E1074" s="10" t="s">
        <v>446</v>
      </c>
      <c r="F1074" s="11">
        <v>4400000</v>
      </c>
      <c r="G1074" s="11">
        <v>4400000</v>
      </c>
      <c r="H1074" s="11"/>
    </row>
    <row r="1075" spans="1:11" x14ac:dyDescent="0.2">
      <c r="D1075" s="9">
        <v>20240158</v>
      </c>
      <c r="E1075" s="10" t="s">
        <v>447</v>
      </c>
      <c r="F1075" s="11"/>
      <c r="G1075" s="11">
        <v>200000</v>
      </c>
      <c r="H1075" s="11"/>
    </row>
    <row r="1076" spans="1:11" x14ac:dyDescent="0.2">
      <c r="D1076" s="9">
        <v>20240159</v>
      </c>
      <c r="E1076" s="10" t="s">
        <v>448</v>
      </c>
      <c r="F1076" s="11">
        <v>2250000</v>
      </c>
      <c r="G1076" s="11">
        <v>2250000</v>
      </c>
      <c r="H1076" s="11"/>
    </row>
    <row r="1077" spans="1:11" x14ac:dyDescent="0.2">
      <c r="D1077" s="9">
        <v>20250039</v>
      </c>
      <c r="E1077" s="10" t="s">
        <v>451</v>
      </c>
      <c r="F1077" s="11">
        <v>800000</v>
      </c>
      <c r="G1077" s="11">
        <v>300000</v>
      </c>
      <c r="H1077" s="11"/>
    </row>
    <row r="1078" spans="1:11" x14ac:dyDescent="0.2">
      <c r="D1078" s="9">
        <v>20250050</v>
      </c>
      <c r="E1078" s="10" t="s">
        <v>452</v>
      </c>
      <c r="F1078" s="11">
        <v>200000</v>
      </c>
      <c r="G1078" s="11"/>
      <c r="H1078" s="11">
        <v>200000</v>
      </c>
    </row>
    <row r="1079" spans="1:11" x14ac:dyDescent="0.2">
      <c r="D1079" s="9">
        <v>20250053</v>
      </c>
      <c r="E1079" s="10" t="s">
        <v>453</v>
      </c>
      <c r="F1079" s="11">
        <v>300000</v>
      </c>
      <c r="G1079" s="11"/>
      <c r="H1079" s="11"/>
    </row>
    <row r="1080" spans="1:11" x14ac:dyDescent="0.2">
      <c r="D1080" s="9">
        <v>20250056</v>
      </c>
      <c r="E1080" s="10" t="s">
        <v>454</v>
      </c>
      <c r="F1080" s="11">
        <v>400000</v>
      </c>
      <c r="G1080" s="11"/>
      <c r="H1080" s="11"/>
    </row>
    <row r="1081" spans="1:11" s="12" customFormat="1" ht="16.350000000000001" customHeight="1" x14ac:dyDescent="0.2">
      <c r="A1081" s="91">
        <f>B275</f>
        <v>0</v>
      </c>
      <c r="B1081" s="91"/>
      <c r="C1081" s="91"/>
      <c r="D1081" s="99" t="s">
        <v>150</v>
      </c>
      <c r="E1081" s="99"/>
      <c r="F1081" s="99"/>
      <c r="G1081" s="99"/>
      <c r="H1081" s="99"/>
      <c r="I1081" s="40"/>
      <c r="J1081" s="40"/>
    </row>
    <row r="1082" spans="1:11" s="92" customFormat="1" ht="45" x14ac:dyDescent="0.2">
      <c r="D1082" s="34" t="s">
        <v>8</v>
      </c>
      <c r="E1082" s="35" t="s">
        <v>9</v>
      </c>
      <c r="F1082" s="36" t="s">
        <v>719</v>
      </c>
      <c r="G1082" s="36" t="s">
        <v>720</v>
      </c>
      <c r="H1082" s="36" t="s">
        <v>721</v>
      </c>
      <c r="I1082" s="35" t="s">
        <v>10</v>
      </c>
    </row>
    <row r="1083" spans="1:11" x14ac:dyDescent="0.2">
      <c r="D1083" s="9">
        <v>20250059</v>
      </c>
      <c r="E1083" s="10" t="s">
        <v>455</v>
      </c>
      <c r="F1083" s="11">
        <v>800000</v>
      </c>
      <c r="G1083" s="11"/>
      <c r="H1083" s="11"/>
    </row>
    <row r="1084" spans="1:11" x14ac:dyDescent="0.2">
      <c r="D1084" s="9">
        <v>20250123</v>
      </c>
      <c r="E1084" s="10" t="s">
        <v>456</v>
      </c>
      <c r="F1084" s="11">
        <v>1000000</v>
      </c>
      <c r="G1084" s="11"/>
      <c r="H1084" s="11"/>
      <c r="K1084" s="9"/>
    </row>
    <row r="1085" spans="1:11" x14ac:dyDescent="0.2">
      <c r="D1085" s="9">
        <v>20250149</v>
      </c>
      <c r="E1085" s="10" t="s">
        <v>457</v>
      </c>
      <c r="F1085" s="11"/>
      <c r="G1085" s="11"/>
      <c r="H1085" s="11">
        <v>100000</v>
      </c>
    </row>
    <row r="1086" spans="1:11" x14ac:dyDescent="0.2">
      <c r="D1086" s="9">
        <v>20250150</v>
      </c>
      <c r="E1086" s="10" t="s">
        <v>458</v>
      </c>
      <c r="F1086" s="11"/>
      <c r="G1086" s="11"/>
      <c r="H1086" s="11">
        <v>100000</v>
      </c>
    </row>
    <row r="1087" spans="1:11" x14ac:dyDescent="0.2">
      <c r="D1087" s="9">
        <v>20250151</v>
      </c>
      <c r="E1087" s="10" t="s">
        <v>459</v>
      </c>
      <c r="F1087" s="11"/>
      <c r="G1087" s="11"/>
      <c r="H1087" s="11">
        <v>100000</v>
      </c>
    </row>
    <row r="1088" spans="1:11" x14ac:dyDescent="0.2">
      <c r="D1088" s="9">
        <v>20250158</v>
      </c>
      <c r="E1088" s="10" t="s">
        <v>460</v>
      </c>
      <c r="F1088" s="11"/>
      <c r="G1088" s="11"/>
      <c r="H1088" s="11">
        <v>350000</v>
      </c>
    </row>
    <row r="1089" spans="4:8" x14ac:dyDescent="0.2">
      <c r="D1089" s="9">
        <v>20250227</v>
      </c>
      <c r="E1089" s="10" t="s">
        <v>461</v>
      </c>
      <c r="F1089" s="11">
        <v>500000</v>
      </c>
      <c r="G1089" s="11"/>
      <c r="H1089" s="11"/>
    </row>
    <row r="1090" spans="4:8" x14ac:dyDescent="0.2">
      <c r="D1090" s="9">
        <v>20250232</v>
      </c>
      <c r="E1090" s="10" t="s">
        <v>462</v>
      </c>
      <c r="F1090" s="11"/>
      <c r="G1090" s="11"/>
      <c r="H1090" s="11">
        <v>350000</v>
      </c>
    </row>
    <row r="1091" spans="4:8" x14ac:dyDescent="0.2">
      <c r="D1091" s="9">
        <v>20250233</v>
      </c>
      <c r="E1091" s="10" t="s">
        <v>463</v>
      </c>
      <c r="F1091" s="11"/>
      <c r="G1091" s="11">
        <v>200000</v>
      </c>
      <c r="H1091" s="11"/>
    </row>
    <row r="1092" spans="4:8" x14ac:dyDescent="0.2">
      <c r="D1092" s="9">
        <v>20250234</v>
      </c>
      <c r="E1092" s="10" t="s">
        <v>464</v>
      </c>
      <c r="F1092" s="11"/>
      <c r="G1092" s="11">
        <v>100000</v>
      </c>
      <c r="H1092" s="11">
        <v>200000</v>
      </c>
    </row>
    <row r="1093" spans="4:8" x14ac:dyDescent="0.2">
      <c r="D1093" s="9">
        <v>20250242</v>
      </c>
      <c r="E1093" s="10" t="s">
        <v>465</v>
      </c>
      <c r="F1093" s="11"/>
      <c r="G1093" s="11">
        <v>300000</v>
      </c>
      <c r="H1093" s="11">
        <v>300000</v>
      </c>
    </row>
    <row r="1094" spans="4:8" x14ac:dyDescent="0.2">
      <c r="D1094" s="9">
        <v>20250249</v>
      </c>
      <c r="E1094" s="10" t="s">
        <v>466</v>
      </c>
      <c r="F1094" s="11"/>
      <c r="G1094" s="11">
        <v>300000</v>
      </c>
      <c r="H1094" s="11">
        <v>300000</v>
      </c>
    </row>
    <row r="1095" spans="4:8" x14ac:dyDescent="0.2">
      <c r="D1095" s="9">
        <v>20250257</v>
      </c>
      <c r="E1095" s="10" t="s">
        <v>469</v>
      </c>
      <c r="F1095" s="11">
        <v>1200000</v>
      </c>
      <c r="G1095" s="11">
        <v>800000</v>
      </c>
      <c r="H1095" s="11">
        <v>1000000</v>
      </c>
    </row>
    <row r="1096" spans="4:8" x14ac:dyDescent="0.2">
      <c r="D1096" s="9">
        <v>20250260</v>
      </c>
      <c r="E1096" s="10" t="s">
        <v>470</v>
      </c>
      <c r="F1096" s="11">
        <v>300000</v>
      </c>
      <c r="G1096" s="11">
        <v>500000</v>
      </c>
      <c r="H1096" s="11">
        <v>400000</v>
      </c>
    </row>
    <row r="1097" spans="4:8" x14ac:dyDescent="0.2">
      <c r="D1097" s="9">
        <v>20250261</v>
      </c>
      <c r="E1097" s="10" t="s">
        <v>471</v>
      </c>
      <c r="F1097" s="11"/>
      <c r="G1097" s="11">
        <v>1000000</v>
      </c>
      <c r="H1097" s="11"/>
    </row>
    <row r="1098" spans="4:8" x14ac:dyDescent="0.2">
      <c r="D1098" s="9">
        <v>20250262</v>
      </c>
      <c r="E1098" s="10" t="s">
        <v>472</v>
      </c>
      <c r="F1098" s="11"/>
      <c r="G1098" s="11">
        <v>2500000</v>
      </c>
      <c r="H1098" s="11"/>
    </row>
    <row r="1099" spans="4:8" x14ac:dyDescent="0.2">
      <c r="D1099" s="9">
        <v>20250263</v>
      </c>
      <c r="E1099" s="10" t="s">
        <v>473</v>
      </c>
      <c r="F1099" s="11">
        <v>200000</v>
      </c>
      <c r="G1099" s="11">
        <v>300000</v>
      </c>
      <c r="H1099" s="11">
        <v>1200000</v>
      </c>
    </row>
    <row r="1100" spans="4:8" x14ac:dyDescent="0.2">
      <c r="D1100" s="9">
        <v>20250268</v>
      </c>
      <c r="E1100" s="10" t="s">
        <v>371</v>
      </c>
      <c r="F1100" s="11">
        <v>40000</v>
      </c>
      <c r="G1100" s="11"/>
      <c r="H1100" s="11"/>
    </row>
    <row r="1101" spans="4:8" x14ac:dyDescent="0.2">
      <c r="D1101" s="9">
        <v>20250275</v>
      </c>
      <c r="E1101" s="10" t="s">
        <v>474</v>
      </c>
      <c r="F1101" s="11"/>
      <c r="G1101" s="11">
        <v>500000</v>
      </c>
      <c r="H1101" s="11">
        <v>4700000</v>
      </c>
    </row>
    <row r="1102" spans="4:8" x14ac:dyDescent="0.2">
      <c r="D1102" s="9">
        <v>20250282</v>
      </c>
      <c r="E1102" s="10" t="s">
        <v>475</v>
      </c>
      <c r="F1102" s="11">
        <v>350000</v>
      </c>
      <c r="G1102" s="11">
        <v>300000</v>
      </c>
      <c r="H1102" s="11"/>
    </row>
    <row r="1103" spans="4:8" x14ac:dyDescent="0.2">
      <c r="D1103" s="9">
        <v>20250306</v>
      </c>
      <c r="E1103" s="10" t="s">
        <v>476</v>
      </c>
      <c r="F1103" s="11"/>
      <c r="G1103" s="11">
        <v>300000</v>
      </c>
      <c r="H1103" s="11"/>
    </row>
    <row r="1104" spans="4:8" x14ac:dyDescent="0.2">
      <c r="D1104" s="9">
        <v>20250308</v>
      </c>
      <c r="E1104" s="10" t="s">
        <v>477</v>
      </c>
      <c r="F1104" s="11">
        <v>80000</v>
      </c>
      <c r="G1104" s="11">
        <v>100000</v>
      </c>
      <c r="H1104" s="11"/>
    </row>
    <row r="1105" spans="1:9" x14ac:dyDescent="0.2">
      <c r="D1105" s="9">
        <v>20250309</v>
      </c>
      <c r="E1105" s="10" t="s">
        <v>478</v>
      </c>
      <c r="F1105" s="11"/>
      <c r="G1105" s="11"/>
      <c r="H1105" s="11">
        <v>200000</v>
      </c>
    </row>
    <row r="1106" spans="1:9" x14ac:dyDescent="0.2">
      <c r="D1106" s="9">
        <v>20250310</v>
      </c>
      <c r="E1106" s="10" t="s">
        <v>479</v>
      </c>
      <c r="F1106" s="11"/>
      <c r="G1106" s="11">
        <v>200000</v>
      </c>
      <c r="H1106" s="11"/>
    </row>
    <row r="1107" spans="1:9" x14ac:dyDescent="0.2">
      <c r="D1107" s="9">
        <v>20250311</v>
      </c>
      <c r="E1107" s="10" t="s">
        <v>480</v>
      </c>
      <c r="F1107" s="11"/>
      <c r="G1107" s="11"/>
      <c r="H1107" s="11">
        <v>200000</v>
      </c>
    </row>
    <row r="1108" spans="1:9" x14ac:dyDescent="0.2">
      <c r="D1108" s="9">
        <v>20250313</v>
      </c>
      <c r="E1108" s="10" t="s">
        <v>481</v>
      </c>
      <c r="F1108" s="11">
        <v>35000</v>
      </c>
      <c r="G1108" s="11"/>
      <c r="H1108" s="11"/>
    </row>
    <row r="1109" spans="1:9" x14ac:dyDescent="0.2">
      <c r="D1109" s="9">
        <v>20250314</v>
      </c>
      <c r="E1109" s="10" t="s">
        <v>482</v>
      </c>
      <c r="F1109" s="11"/>
      <c r="G1109" s="11">
        <v>100000</v>
      </c>
      <c r="H1109" s="11"/>
    </row>
    <row r="1110" spans="1:9" x14ac:dyDescent="0.2">
      <c r="D1110" s="9">
        <v>20250315</v>
      </c>
      <c r="E1110" s="10" t="s">
        <v>483</v>
      </c>
      <c r="F1110" s="11"/>
      <c r="G1110" s="11">
        <v>100000</v>
      </c>
      <c r="H1110" s="11"/>
    </row>
    <row r="1111" spans="1:9" x14ac:dyDescent="0.2">
      <c r="D1111" s="9">
        <v>20250317</v>
      </c>
      <c r="E1111" s="10" t="s">
        <v>485</v>
      </c>
      <c r="F1111" s="11"/>
      <c r="G1111" s="11"/>
      <c r="H1111" s="11">
        <v>400000</v>
      </c>
    </row>
    <row r="1112" spans="1:9" x14ac:dyDescent="0.2">
      <c r="D1112" s="9">
        <v>20250318</v>
      </c>
      <c r="E1112" s="10" t="s">
        <v>486</v>
      </c>
      <c r="F1112" s="11">
        <v>150000</v>
      </c>
      <c r="G1112" s="11"/>
      <c r="H1112" s="11">
        <v>200000</v>
      </c>
    </row>
    <row r="1113" spans="1:9" x14ac:dyDescent="0.2">
      <c r="D1113" s="9">
        <v>20250319</v>
      </c>
      <c r="E1113" s="10" t="s">
        <v>487</v>
      </c>
      <c r="F1113" s="11">
        <v>100000</v>
      </c>
      <c r="G1113" s="11"/>
      <c r="H1113" s="11">
        <v>200000</v>
      </c>
    </row>
    <row r="1114" spans="1:9" x14ac:dyDescent="0.2">
      <c r="F1114" s="11"/>
      <c r="G1114" s="11"/>
      <c r="H1114" s="11"/>
    </row>
    <row r="1115" spans="1:9" s="12" customFormat="1" ht="10.35" customHeight="1" x14ac:dyDescent="0.2">
      <c r="A1115" s="91">
        <f>B1124</f>
        <v>0</v>
      </c>
      <c r="B1115" s="91"/>
      <c r="C1115" s="91"/>
      <c r="D1115" s="99" t="s">
        <v>150</v>
      </c>
      <c r="E1115" s="99"/>
      <c r="F1115" s="99"/>
      <c r="G1115" s="99"/>
      <c r="H1115" s="99"/>
      <c r="I1115" s="99"/>
    </row>
    <row r="1116" spans="1:9" s="92" customFormat="1" ht="45" x14ac:dyDescent="0.2">
      <c r="D1116" s="34" t="s">
        <v>8</v>
      </c>
      <c r="E1116" s="35" t="s">
        <v>9</v>
      </c>
      <c r="F1116" s="36" t="s">
        <v>719</v>
      </c>
      <c r="G1116" s="36" t="s">
        <v>720</v>
      </c>
      <c r="H1116" s="36" t="s">
        <v>721</v>
      </c>
      <c r="I1116" s="35" t="s">
        <v>10</v>
      </c>
    </row>
    <row r="1117" spans="1:9" x14ac:dyDescent="0.2">
      <c r="D1117" s="9">
        <v>20250321</v>
      </c>
      <c r="E1117" s="10" t="s">
        <v>488</v>
      </c>
      <c r="F1117" s="11">
        <v>600000</v>
      </c>
      <c r="G1117" s="11"/>
      <c r="H1117" s="11"/>
    </row>
    <row r="1118" spans="1:9" x14ac:dyDescent="0.2">
      <c r="D1118" s="9">
        <v>20250322</v>
      </c>
      <c r="E1118" s="10" t="s">
        <v>489</v>
      </c>
      <c r="F1118" s="11">
        <v>150000</v>
      </c>
      <c r="G1118" s="11"/>
      <c r="H1118" s="11">
        <v>200000</v>
      </c>
    </row>
    <row r="1119" spans="1:9" x14ac:dyDescent="0.2">
      <c r="D1119" s="9">
        <v>20250323</v>
      </c>
      <c r="E1119" s="10" t="s">
        <v>490</v>
      </c>
      <c r="F1119" s="11">
        <v>200000</v>
      </c>
      <c r="G1119" s="11"/>
      <c r="H1119" s="11">
        <v>700000</v>
      </c>
    </row>
    <row r="1120" spans="1:9" x14ac:dyDescent="0.2">
      <c r="D1120" s="9">
        <v>20250324</v>
      </c>
      <c r="E1120" s="10" t="s">
        <v>491</v>
      </c>
      <c r="F1120" s="11">
        <v>150000</v>
      </c>
      <c r="G1120" s="11"/>
      <c r="H1120" s="11"/>
    </row>
    <row r="1121" spans="3:8" x14ac:dyDescent="0.2">
      <c r="D1121" s="9">
        <v>20250326</v>
      </c>
      <c r="E1121" s="10" t="s">
        <v>492</v>
      </c>
      <c r="F1121" s="11"/>
      <c r="G1121" s="11"/>
      <c r="H1121" s="11">
        <v>200000</v>
      </c>
    </row>
    <row r="1122" spans="3:8" x14ac:dyDescent="0.2">
      <c r="D1122" s="9">
        <v>20250327</v>
      </c>
      <c r="E1122" s="10" t="s">
        <v>493</v>
      </c>
      <c r="F1122" s="11"/>
      <c r="G1122" s="11"/>
      <c r="H1122" s="11">
        <v>200000</v>
      </c>
    </row>
    <row r="1123" spans="3:8" x14ac:dyDescent="0.2">
      <c r="D1123" s="9">
        <v>20250328</v>
      </c>
      <c r="E1123" s="10" t="s">
        <v>494</v>
      </c>
      <c r="F1123" s="11">
        <v>500000</v>
      </c>
      <c r="G1123" s="11"/>
      <c r="H1123" s="11"/>
    </row>
    <row r="1124" spans="3:8" x14ac:dyDescent="0.2">
      <c r="D1124" s="9">
        <v>20250329</v>
      </c>
      <c r="E1124" s="10" t="s">
        <v>495</v>
      </c>
      <c r="F1124" s="11">
        <v>200000</v>
      </c>
      <c r="G1124" s="11"/>
      <c r="H1124" s="11"/>
    </row>
    <row r="1125" spans="3:8" x14ac:dyDescent="0.2">
      <c r="D1125" s="9">
        <v>20250330</v>
      </c>
      <c r="E1125" s="10" t="s">
        <v>496</v>
      </c>
      <c r="F1125" s="11">
        <v>200000</v>
      </c>
      <c r="G1125" s="11"/>
      <c r="H1125" s="11"/>
    </row>
    <row r="1126" spans="3:8" x14ac:dyDescent="0.2">
      <c r="D1126" s="9">
        <v>20250331</v>
      </c>
      <c r="E1126" s="10" t="s">
        <v>497</v>
      </c>
      <c r="F1126" s="11"/>
      <c r="G1126" s="11"/>
      <c r="H1126" s="11">
        <v>300000</v>
      </c>
    </row>
    <row r="1127" spans="3:8" x14ac:dyDescent="0.2">
      <c r="D1127" s="9">
        <v>20250332</v>
      </c>
      <c r="E1127" s="10" t="s">
        <v>498</v>
      </c>
      <c r="F1127" s="11"/>
      <c r="G1127" s="11"/>
      <c r="H1127" s="11">
        <v>300000</v>
      </c>
    </row>
    <row r="1128" spans="3:8" x14ac:dyDescent="0.2">
      <c r="D1128" s="9">
        <v>20250333</v>
      </c>
      <c r="E1128" s="10" t="s">
        <v>499</v>
      </c>
      <c r="F1128" s="11"/>
      <c r="G1128" s="11"/>
      <c r="H1128" s="11">
        <v>300000</v>
      </c>
    </row>
    <row r="1129" spans="3:8" x14ac:dyDescent="0.2">
      <c r="D1129" s="9">
        <v>20250334</v>
      </c>
      <c r="E1129" s="10" t="s">
        <v>500</v>
      </c>
      <c r="F1129" s="11">
        <v>300000</v>
      </c>
      <c r="G1129" s="11"/>
      <c r="H1129" s="11"/>
    </row>
    <row r="1130" spans="3:8" x14ac:dyDescent="0.2">
      <c r="D1130" s="9">
        <v>20250339</v>
      </c>
      <c r="E1130" s="10" t="s">
        <v>501</v>
      </c>
      <c r="F1130" s="11">
        <v>100000</v>
      </c>
      <c r="G1130" s="11"/>
      <c r="H1130" s="11"/>
    </row>
    <row r="1131" spans="3:8" x14ac:dyDescent="0.2">
      <c r="D1131" s="9">
        <v>20250357</v>
      </c>
      <c r="E1131" s="10" t="s">
        <v>502</v>
      </c>
      <c r="F1131" s="11"/>
      <c r="G1131" s="11">
        <v>3000000</v>
      </c>
      <c r="H1131" s="11">
        <v>2000000</v>
      </c>
    </row>
    <row r="1134" spans="3:8" x14ac:dyDescent="0.2">
      <c r="F1134" s="11"/>
      <c r="G1134" s="11"/>
      <c r="H1134" s="11"/>
    </row>
    <row r="1135" spans="3:8" x14ac:dyDescent="0.2">
      <c r="C1135" s="10" t="s">
        <v>13</v>
      </c>
      <c r="E1135" s="19" t="str">
        <f>C1135</f>
        <v>Capital Total</v>
      </c>
      <c r="F1135" s="20">
        <f>SUM(F1048:F1075)+SUM(F1076:F1133)</f>
        <v>47505000</v>
      </c>
      <c r="G1135" s="20">
        <f>SUM(G1048:G1075)+SUM(G1076:G1133)</f>
        <v>30100000</v>
      </c>
      <c r="H1135" s="20">
        <f>SUM(H1048:H1075)+SUM(H1076:H1133)</f>
        <v>24700000</v>
      </c>
    </row>
    <row r="1136" spans="3:8" x14ac:dyDescent="0.2">
      <c r="E1136" s="23"/>
      <c r="F1136" s="11"/>
      <c r="G1136" s="11"/>
      <c r="H1136" s="11"/>
    </row>
    <row r="1137" spans="1:9" s="12" customFormat="1" x14ac:dyDescent="0.2">
      <c r="A1137" s="91">
        <f>B1139</f>
        <v>0</v>
      </c>
      <c r="B1137" s="91"/>
      <c r="C1137" s="91"/>
      <c r="D1137" s="99" t="s">
        <v>139</v>
      </c>
      <c r="E1137" s="99"/>
      <c r="F1137" s="99"/>
      <c r="G1137" s="99"/>
      <c r="H1137" s="99"/>
      <c r="I1137" s="99"/>
    </row>
    <row r="1138" spans="1:9" s="92" customFormat="1" ht="45" x14ac:dyDescent="0.2">
      <c r="D1138" s="34" t="s">
        <v>8</v>
      </c>
      <c r="E1138" s="35" t="s">
        <v>9</v>
      </c>
      <c r="F1138" s="36" t="s">
        <v>719</v>
      </c>
      <c r="G1138" s="36" t="s">
        <v>720</v>
      </c>
      <c r="H1138" s="36" t="s">
        <v>721</v>
      </c>
      <c r="I1138" s="35" t="s">
        <v>10</v>
      </c>
    </row>
    <row r="1139" spans="1:9" x14ac:dyDescent="0.2">
      <c r="D1139" s="9">
        <v>20240185</v>
      </c>
      <c r="E1139" s="10" t="s">
        <v>503</v>
      </c>
      <c r="F1139" s="11"/>
      <c r="G1139" s="11">
        <v>1000000</v>
      </c>
      <c r="H1139" s="11">
        <v>1000000</v>
      </c>
    </row>
    <row r="1140" spans="1:9" x14ac:dyDescent="0.2">
      <c r="D1140" s="9">
        <v>20250223</v>
      </c>
      <c r="E1140" s="10" t="s">
        <v>503</v>
      </c>
      <c r="F1140" s="11"/>
      <c r="G1140" s="11"/>
      <c r="H1140" s="11">
        <v>500000</v>
      </c>
    </row>
    <row r="1141" spans="1:9" x14ac:dyDescent="0.2">
      <c r="C1141" s="10" t="s">
        <v>13</v>
      </c>
      <c r="E1141" s="19" t="str">
        <f>C1141</f>
        <v>Capital Total</v>
      </c>
      <c r="F1141" s="20">
        <f>SUM(F1139:F1140)</f>
        <v>0</v>
      </c>
      <c r="G1141" s="20">
        <f>SUM(G1139:G1140)</f>
        <v>1000000</v>
      </c>
      <c r="H1141" s="20">
        <f>SUM(H1139:H1140)</f>
        <v>1500000</v>
      </c>
    </row>
    <row r="1142" spans="1:9" x14ac:dyDescent="0.2">
      <c r="E1142" s="23"/>
      <c r="F1142" s="11"/>
      <c r="G1142" s="11"/>
      <c r="H1142" s="11"/>
    </row>
    <row r="1143" spans="1:9" x14ac:dyDescent="0.2">
      <c r="E1143" s="23"/>
      <c r="F1143" s="11"/>
      <c r="G1143" s="11"/>
      <c r="H1143" s="11"/>
    </row>
    <row r="1144" spans="1:9" s="12" customFormat="1" x14ac:dyDescent="0.2">
      <c r="A1144" s="91" t="str">
        <f>B1146</f>
        <v>WARD 998</v>
      </c>
      <c r="B1144" s="91"/>
      <c r="C1144" s="91"/>
      <c r="D1144" s="99" t="str">
        <f>A1144</f>
        <v>WARD 998</v>
      </c>
      <c r="E1144" s="99"/>
      <c r="F1144" s="99"/>
      <c r="G1144" s="99"/>
      <c r="H1144" s="99"/>
      <c r="I1144" s="99"/>
    </row>
    <row r="1145" spans="1:9" s="92" customFormat="1" ht="45" x14ac:dyDescent="0.2">
      <c r="D1145" s="34" t="s">
        <v>8</v>
      </c>
      <c r="E1145" s="35" t="s">
        <v>9</v>
      </c>
      <c r="F1145" s="36" t="s">
        <v>719</v>
      </c>
      <c r="G1145" s="36" t="s">
        <v>720</v>
      </c>
      <c r="H1145" s="36" t="s">
        <v>721</v>
      </c>
      <c r="I1145" s="35" t="s">
        <v>10</v>
      </c>
    </row>
    <row r="1146" spans="1:9" x14ac:dyDescent="0.2">
      <c r="A1146" s="10">
        <v>998</v>
      </c>
      <c r="B1146" s="10" t="s">
        <v>140</v>
      </c>
      <c r="C1146" s="10" t="s">
        <v>12</v>
      </c>
      <c r="D1146" s="9">
        <v>20170131</v>
      </c>
      <c r="E1146" s="10" t="s">
        <v>135</v>
      </c>
      <c r="F1146" s="11">
        <v>1000000</v>
      </c>
      <c r="G1146" s="11">
        <v>1000000</v>
      </c>
      <c r="H1146" s="11">
        <v>1000000</v>
      </c>
    </row>
    <row r="1147" spans="1:9" x14ac:dyDescent="0.2">
      <c r="D1147" s="9">
        <v>20190313</v>
      </c>
      <c r="E1147" s="10" t="s">
        <v>505</v>
      </c>
      <c r="F1147" s="11">
        <v>2000000</v>
      </c>
      <c r="G1147" s="11">
        <v>2000000</v>
      </c>
      <c r="H1147" s="11">
        <v>2000000</v>
      </c>
    </row>
    <row r="1148" spans="1:9" x14ac:dyDescent="0.2">
      <c r="D1148" s="9">
        <v>20200196</v>
      </c>
      <c r="E1148" s="10" t="s">
        <v>506</v>
      </c>
      <c r="F1148" s="11">
        <v>2000000</v>
      </c>
      <c r="G1148" s="11">
        <v>3500000</v>
      </c>
      <c r="H1148" s="11">
        <v>3500000</v>
      </c>
    </row>
    <row r="1149" spans="1:9" x14ac:dyDescent="0.2">
      <c r="D1149" s="9">
        <v>20240141</v>
      </c>
      <c r="E1149" s="10" t="s">
        <v>512</v>
      </c>
      <c r="F1149" s="11"/>
      <c r="G1149" s="11">
        <v>1000000</v>
      </c>
      <c r="H1149" s="11">
        <v>2000000</v>
      </c>
    </row>
    <row r="1150" spans="1:9" x14ac:dyDescent="0.2">
      <c r="D1150" s="9">
        <v>20250156</v>
      </c>
      <c r="E1150" s="10" t="s">
        <v>517</v>
      </c>
      <c r="F1150" s="11"/>
      <c r="G1150" s="11"/>
      <c r="H1150" s="11">
        <v>100000</v>
      </c>
    </row>
    <row r="1151" spans="1:9" x14ac:dyDescent="0.2">
      <c r="D1151" s="9">
        <v>20250307</v>
      </c>
      <c r="E1151" s="10" t="s">
        <v>522</v>
      </c>
      <c r="F1151" s="11"/>
      <c r="G1151" s="11">
        <v>1000000</v>
      </c>
      <c r="H1151" s="11"/>
    </row>
    <row r="1152" spans="1:9" x14ac:dyDescent="0.2">
      <c r="C1152" s="10" t="s">
        <v>13</v>
      </c>
      <c r="E1152" s="19" t="str">
        <f>C1152</f>
        <v>Capital Total</v>
      </c>
      <c r="F1152" s="20">
        <f>SUM(F1146:F1151)</f>
        <v>5000000</v>
      </c>
      <c r="G1152" s="20">
        <f>SUM(G1146:G1151)</f>
        <v>8500000</v>
      </c>
      <c r="H1152" s="20">
        <f>SUM(H1146:H1151)</f>
        <v>8600000</v>
      </c>
    </row>
    <row r="1153" spans="1:9" x14ac:dyDescent="0.2">
      <c r="E1153" s="23"/>
      <c r="F1153" s="11"/>
      <c r="G1153" s="11"/>
      <c r="H1153" s="11"/>
    </row>
    <row r="1154" spans="1:9" s="12" customFormat="1" x14ac:dyDescent="0.2">
      <c r="A1154" s="91" t="str">
        <f>B1156</f>
        <v>WARD 999</v>
      </c>
      <c r="B1154" s="91"/>
      <c r="C1154" s="91"/>
      <c r="D1154" s="99" t="str">
        <f>A1154</f>
        <v>WARD 999</v>
      </c>
      <c r="E1154" s="99"/>
      <c r="F1154" s="99"/>
      <c r="G1154" s="99"/>
      <c r="H1154" s="99"/>
      <c r="I1154" s="99"/>
    </row>
    <row r="1155" spans="1:9" s="92" customFormat="1" ht="45" x14ac:dyDescent="0.2">
      <c r="D1155" s="34" t="s">
        <v>8</v>
      </c>
      <c r="E1155" s="35" t="s">
        <v>9</v>
      </c>
      <c r="F1155" s="36" t="s">
        <v>719</v>
      </c>
      <c r="G1155" s="36" t="s">
        <v>720</v>
      </c>
      <c r="H1155" s="36" t="s">
        <v>721</v>
      </c>
      <c r="I1155" s="35" t="s">
        <v>10</v>
      </c>
    </row>
    <row r="1156" spans="1:9" x14ac:dyDescent="0.2">
      <c r="A1156" s="10">
        <v>999</v>
      </c>
      <c r="B1156" s="10" t="s">
        <v>141</v>
      </c>
      <c r="C1156" s="10" t="s">
        <v>12</v>
      </c>
      <c r="D1156" s="9">
        <v>20060229</v>
      </c>
      <c r="E1156" s="10" t="s">
        <v>523</v>
      </c>
      <c r="F1156" s="11">
        <v>600000</v>
      </c>
      <c r="G1156" s="11">
        <v>16700000</v>
      </c>
      <c r="H1156" s="11">
        <v>10000000</v>
      </c>
    </row>
    <row r="1157" spans="1:9" x14ac:dyDescent="0.2">
      <c r="D1157" s="9">
        <v>20162191</v>
      </c>
      <c r="E1157" s="10" t="s">
        <v>524</v>
      </c>
      <c r="F1157" s="11"/>
      <c r="G1157" s="11"/>
      <c r="H1157" s="11">
        <v>4000000</v>
      </c>
    </row>
    <row r="1158" spans="1:9" x14ac:dyDescent="0.2">
      <c r="D1158" s="9">
        <v>20190054</v>
      </c>
      <c r="E1158" s="10" t="s">
        <v>525</v>
      </c>
      <c r="F1158" s="11">
        <f>400000-400000</f>
        <v>0</v>
      </c>
      <c r="G1158" s="11">
        <v>5000000</v>
      </c>
      <c r="H1158" s="11">
        <v>15000000</v>
      </c>
    </row>
    <row r="1159" spans="1:9" x14ac:dyDescent="0.2">
      <c r="D1159" s="9">
        <v>20200050</v>
      </c>
      <c r="E1159" s="10" t="s">
        <v>527</v>
      </c>
      <c r="F1159" s="11">
        <v>3000000</v>
      </c>
      <c r="G1159" s="11">
        <v>3000000</v>
      </c>
      <c r="H1159" s="11">
        <v>3000000</v>
      </c>
    </row>
    <row r="1160" spans="1:9" x14ac:dyDescent="0.2">
      <c r="D1160" s="9" t="s">
        <v>819</v>
      </c>
      <c r="E1160" s="10" t="s">
        <v>820</v>
      </c>
      <c r="F1160" s="11">
        <v>18000000</v>
      </c>
      <c r="G1160" s="11"/>
      <c r="H1160" s="11"/>
    </row>
    <row r="1161" spans="1:9" x14ac:dyDescent="0.2">
      <c r="D1161" s="9">
        <v>20200051</v>
      </c>
      <c r="E1161" s="10" t="s">
        <v>908</v>
      </c>
      <c r="F1161" s="11">
        <f>30000000-2000000-2000000-1000000-1000000-1000000-2000000-2000000-2000000-2000000-2000000-4000000-5000000-1500000</f>
        <v>2500000</v>
      </c>
      <c r="G1161" s="11">
        <v>30000000</v>
      </c>
      <c r="H1161" s="11">
        <v>30000000</v>
      </c>
    </row>
    <row r="1162" spans="1:9" x14ac:dyDescent="0.2">
      <c r="D1162" s="9">
        <v>20200054</v>
      </c>
      <c r="E1162" s="10" t="s">
        <v>528</v>
      </c>
      <c r="F1162" s="11">
        <f>12000000-6000000-1000000-2000000-2500000</f>
        <v>500000</v>
      </c>
      <c r="G1162" s="11">
        <v>12000000</v>
      </c>
      <c r="H1162" s="11">
        <v>12000000</v>
      </c>
    </row>
    <row r="1163" spans="1:9" x14ac:dyDescent="0.2">
      <c r="D1163" s="9">
        <v>20200058</v>
      </c>
      <c r="E1163" s="10" t="s">
        <v>909</v>
      </c>
      <c r="F1163" s="11">
        <f>4000000-4000000</f>
        <v>0</v>
      </c>
      <c r="G1163" s="11">
        <v>3000000</v>
      </c>
      <c r="H1163" s="11">
        <v>3000000</v>
      </c>
    </row>
    <row r="1164" spans="1:9" x14ac:dyDescent="0.2">
      <c r="D1164" s="9">
        <v>20200059</v>
      </c>
      <c r="E1164" s="10" t="s">
        <v>529</v>
      </c>
      <c r="F1164" s="11">
        <v>2000000</v>
      </c>
      <c r="G1164" s="11">
        <v>2000000</v>
      </c>
      <c r="H1164" s="11">
        <v>2000000</v>
      </c>
    </row>
    <row r="1165" spans="1:9" x14ac:dyDescent="0.2">
      <c r="D1165" s="9">
        <v>20200060</v>
      </c>
      <c r="E1165" s="10" t="s">
        <v>530</v>
      </c>
      <c r="F1165" s="11">
        <v>2000000</v>
      </c>
      <c r="G1165" s="11">
        <v>2000000</v>
      </c>
      <c r="H1165" s="11">
        <v>2000000</v>
      </c>
    </row>
    <row r="1166" spans="1:9" x14ac:dyDescent="0.2">
      <c r="D1166" s="9">
        <v>20200061</v>
      </c>
      <c r="E1166" s="10" t="s">
        <v>531</v>
      </c>
      <c r="F1166" s="11"/>
      <c r="G1166" s="11"/>
      <c r="H1166" s="11">
        <v>2000000</v>
      </c>
    </row>
    <row r="1167" spans="1:9" x14ac:dyDescent="0.2">
      <c r="D1167" s="9">
        <v>20200062</v>
      </c>
      <c r="E1167" s="10" t="s">
        <v>532</v>
      </c>
      <c r="F1167" s="11">
        <v>500000</v>
      </c>
      <c r="G1167" s="11">
        <v>500000</v>
      </c>
      <c r="H1167" s="11">
        <v>500000</v>
      </c>
    </row>
    <row r="1168" spans="1:9" x14ac:dyDescent="0.2">
      <c r="D1168" s="9">
        <v>20200063</v>
      </c>
      <c r="E1168" s="10" t="s">
        <v>533</v>
      </c>
      <c r="F1168" s="11">
        <v>3000000</v>
      </c>
      <c r="G1168" s="11">
        <v>2000000</v>
      </c>
      <c r="H1168" s="11">
        <v>2000000</v>
      </c>
    </row>
    <row r="1169" spans="4:8" x14ac:dyDescent="0.2">
      <c r="D1169" s="9">
        <v>20200065</v>
      </c>
      <c r="E1169" s="10" t="s">
        <v>534</v>
      </c>
      <c r="F1169" s="11">
        <v>500000</v>
      </c>
      <c r="G1169" s="11">
        <v>1500000</v>
      </c>
      <c r="H1169" s="11">
        <v>1500000</v>
      </c>
    </row>
    <row r="1170" spans="4:8" x14ac:dyDescent="0.2">
      <c r="D1170" s="9">
        <v>20200068</v>
      </c>
      <c r="E1170" s="10" t="s">
        <v>535</v>
      </c>
      <c r="F1170" s="11">
        <v>350000</v>
      </c>
      <c r="G1170" s="11">
        <v>350000</v>
      </c>
      <c r="H1170" s="11">
        <v>350000</v>
      </c>
    </row>
    <row r="1171" spans="4:8" x14ac:dyDescent="0.2">
      <c r="D1171" s="9">
        <v>20200069</v>
      </c>
      <c r="E1171" s="10" t="s">
        <v>536</v>
      </c>
      <c r="F1171" s="11">
        <v>2000000</v>
      </c>
      <c r="G1171" s="11">
        <v>2000000</v>
      </c>
      <c r="H1171" s="11">
        <v>2000000</v>
      </c>
    </row>
    <row r="1172" spans="4:8" x14ac:dyDescent="0.2">
      <c r="D1172" s="9">
        <v>20200076</v>
      </c>
      <c r="E1172" s="10" t="s">
        <v>537</v>
      </c>
      <c r="F1172" s="11"/>
      <c r="G1172" s="11">
        <v>300000</v>
      </c>
      <c r="H1172" s="11">
        <v>300000</v>
      </c>
    </row>
    <row r="1173" spans="4:8" x14ac:dyDescent="0.2">
      <c r="D1173" s="9">
        <v>20200078</v>
      </c>
      <c r="E1173" s="10" t="s">
        <v>538</v>
      </c>
      <c r="F1173" s="11">
        <v>1500000</v>
      </c>
      <c r="G1173" s="11">
        <v>1500000</v>
      </c>
      <c r="H1173" s="11">
        <v>1500000</v>
      </c>
    </row>
    <row r="1174" spans="4:8" x14ac:dyDescent="0.2">
      <c r="D1174" s="9">
        <v>20200082</v>
      </c>
      <c r="E1174" s="10" t="s">
        <v>539</v>
      </c>
      <c r="F1174" s="11">
        <v>500000</v>
      </c>
      <c r="G1174" s="11">
        <v>500000</v>
      </c>
      <c r="H1174" s="11">
        <v>500000</v>
      </c>
    </row>
    <row r="1175" spans="4:8" x14ac:dyDescent="0.2">
      <c r="D1175" s="9">
        <v>20200083</v>
      </c>
      <c r="E1175" s="10" t="s">
        <v>540</v>
      </c>
      <c r="F1175" s="11">
        <v>2000000</v>
      </c>
      <c r="G1175" s="11">
        <v>2000000</v>
      </c>
      <c r="H1175" s="11">
        <v>2000000</v>
      </c>
    </row>
    <row r="1176" spans="4:8" x14ac:dyDescent="0.2">
      <c r="D1176" s="9">
        <v>20200086</v>
      </c>
      <c r="E1176" s="10" t="s">
        <v>541</v>
      </c>
      <c r="F1176" s="11">
        <v>1500000</v>
      </c>
      <c r="G1176" s="11">
        <v>2500000</v>
      </c>
      <c r="H1176" s="11">
        <v>2500000</v>
      </c>
    </row>
    <row r="1177" spans="4:8" x14ac:dyDescent="0.2">
      <c r="D1177" s="9">
        <v>20210173</v>
      </c>
      <c r="E1177" s="10" t="s">
        <v>542</v>
      </c>
      <c r="F1177" s="11">
        <f>4000000-150000</f>
        <v>3850000</v>
      </c>
      <c r="G1177" s="11">
        <v>2000000</v>
      </c>
      <c r="H1177" s="11">
        <v>2000000</v>
      </c>
    </row>
    <row r="1178" spans="4:8" x14ac:dyDescent="0.2">
      <c r="D1178" s="9">
        <v>20210174</v>
      </c>
      <c r="E1178" s="10" t="s">
        <v>543</v>
      </c>
      <c r="F1178" s="11">
        <v>2000000</v>
      </c>
      <c r="G1178" s="11">
        <v>2000000</v>
      </c>
      <c r="H1178" s="11">
        <v>2000000</v>
      </c>
    </row>
    <row r="1179" spans="4:8" x14ac:dyDescent="0.2">
      <c r="D1179" s="9">
        <v>20210176</v>
      </c>
      <c r="E1179" s="10" t="s">
        <v>544</v>
      </c>
      <c r="F1179" s="11">
        <v>3000000</v>
      </c>
      <c r="G1179" s="11">
        <v>2000000</v>
      </c>
      <c r="H1179" s="11">
        <v>2000000</v>
      </c>
    </row>
    <row r="1180" spans="4:8" x14ac:dyDescent="0.2">
      <c r="D1180" s="9">
        <v>20220050</v>
      </c>
      <c r="E1180" s="10" t="s">
        <v>546</v>
      </c>
      <c r="F1180" s="11">
        <v>500000</v>
      </c>
      <c r="G1180" s="11">
        <v>530000</v>
      </c>
      <c r="H1180" s="11">
        <v>561800</v>
      </c>
    </row>
    <row r="1181" spans="4:8" x14ac:dyDescent="0.2">
      <c r="D1181" s="9">
        <v>20220117</v>
      </c>
      <c r="E1181" s="10" t="s">
        <v>550</v>
      </c>
      <c r="F1181" s="11">
        <f>10000000-5000000-5000000</f>
        <v>0</v>
      </c>
      <c r="G1181" s="11">
        <v>8000000</v>
      </c>
      <c r="H1181" s="11">
        <v>8000000</v>
      </c>
    </row>
    <row r="1182" spans="4:8" x14ac:dyDescent="0.2">
      <c r="D1182" s="9">
        <v>20220122</v>
      </c>
      <c r="E1182" s="10" t="s">
        <v>551</v>
      </c>
      <c r="F1182" s="11"/>
      <c r="G1182" s="11">
        <v>9000000</v>
      </c>
      <c r="H1182" s="11">
        <v>5000000</v>
      </c>
    </row>
    <row r="1183" spans="4:8" x14ac:dyDescent="0.2">
      <c r="D1183" s="9">
        <v>20230246</v>
      </c>
      <c r="E1183" s="10" t="s">
        <v>555</v>
      </c>
      <c r="F1183" s="11">
        <v>1500000</v>
      </c>
      <c r="G1183" s="11"/>
      <c r="H1183" s="11"/>
    </row>
    <row r="1184" spans="4:8" x14ac:dyDescent="0.2">
      <c r="D1184" s="9">
        <v>20230257</v>
      </c>
      <c r="E1184" s="10" t="s">
        <v>557</v>
      </c>
      <c r="F1184" s="11"/>
      <c r="G1184" s="11">
        <v>3000000</v>
      </c>
      <c r="H1184" s="11"/>
    </row>
    <row r="1185" spans="1:9" x14ac:dyDescent="0.2">
      <c r="D1185" s="9">
        <v>20230271</v>
      </c>
      <c r="E1185" s="10" t="s">
        <v>910</v>
      </c>
      <c r="F1185" s="11">
        <f>5000000-4000000</f>
        <v>1000000</v>
      </c>
      <c r="G1185" s="11">
        <v>5000000</v>
      </c>
      <c r="H1185" s="11">
        <v>5000000</v>
      </c>
    </row>
    <row r="1186" spans="1:9" x14ac:dyDescent="0.2">
      <c r="D1186" s="9">
        <v>20230276</v>
      </c>
      <c r="E1186" s="10" t="s">
        <v>856</v>
      </c>
      <c r="F1186" s="11">
        <f>9935080-1000000</f>
        <v>8935080</v>
      </c>
      <c r="G1186" s="11">
        <v>93435040</v>
      </c>
      <c r="H1186" s="11">
        <v>95212580</v>
      </c>
    </row>
    <row r="1187" spans="1:9" x14ac:dyDescent="0.2">
      <c r="D1187" s="9">
        <v>20230277</v>
      </c>
      <c r="E1187" s="10" t="s">
        <v>558</v>
      </c>
      <c r="F1187" s="11">
        <v>0</v>
      </c>
      <c r="G1187" s="11">
        <v>10000000</v>
      </c>
      <c r="H1187" s="11">
        <v>10000000</v>
      </c>
    </row>
    <row r="1188" spans="1:9" x14ac:dyDescent="0.2">
      <c r="D1188" s="9">
        <v>20240130</v>
      </c>
      <c r="E1188" s="10" t="s">
        <v>562</v>
      </c>
      <c r="F1188" s="11"/>
      <c r="G1188" s="11"/>
      <c r="H1188" s="11">
        <v>2000000</v>
      </c>
    </row>
    <row r="1190" spans="1:9" s="12" customFormat="1" x14ac:dyDescent="0.2">
      <c r="A1190" s="91" t="e">
        <f>#REF!</f>
        <v>#REF!</v>
      </c>
      <c r="B1190" s="91"/>
      <c r="C1190" s="91"/>
      <c r="D1190" s="40"/>
      <c r="E1190" s="30" t="s">
        <v>149</v>
      </c>
      <c r="F1190" s="11"/>
      <c r="G1190" s="11"/>
      <c r="H1190" s="11"/>
      <c r="I1190" s="10"/>
    </row>
    <row r="1191" spans="1:9" s="92" customFormat="1" ht="45" x14ac:dyDescent="0.2">
      <c r="D1191" s="34" t="s">
        <v>8</v>
      </c>
      <c r="E1191" s="35" t="s">
        <v>9</v>
      </c>
      <c r="F1191" s="36" t="s">
        <v>719</v>
      </c>
      <c r="G1191" s="36" t="s">
        <v>720</v>
      </c>
      <c r="H1191" s="36" t="s">
        <v>721</v>
      </c>
      <c r="I1191" s="35" t="s">
        <v>10</v>
      </c>
    </row>
    <row r="1192" spans="1:9" x14ac:dyDescent="0.2">
      <c r="D1192" s="9">
        <v>20240192</v>
      </c>
      <c r="E1192" s="10" t="s">
        <v>570</v>
      </c>
      <c r="F1192" s="11">
        <v>1000000</v>
      </c>
      <c r="G1192" s="11">
        <v>1000000</v>
      </c>
      <c r="H1192" s="11">
        <v>1000000</v>
      </c>
    </row>
    <row r="1193" spans="1:9" x14ac:dyDescent="0.2">
      <c r="D1193" s="9">
        <v>20240203</v>
      </c>
      <c r="E1193" s="10" t="s">
        <v>859</v>
      </c>
      <c r="F1193" s="11">
        <f>1500000-1500000</f>
        <v>0</v>
      </c>
      <c r="G1193" s="11"/>
      <c r="H1193" s="11"/>
    </row>
    <row r="1194" spans="1:9" x14ac:dyDescent="0.2">
      <c r="D1194" s="9">
        <v>20250078</v>
      </c>
      <c r="E1194" s="10" t="s">
        <v>667</v>
      </c>
      <c r="F1194" s="11">
        <f>10000000-7000000</f>
        <v>3000000</v>
      </c>
      <c r="G1194" s="11"/>
      <c r="H1194" s="11"/>
    </row>
    <row r="1195" spans="1:9" x14ac:dyDescent="0.2">
      <c r="D1195" s="9">
        <v>20250079</v>
      </c>
      <c r="E1195" s="10" t="s">
        <v>854</v>
      </c>
      <c r="F1195" s="11">
        <f>10000000-7500000</f>
        <v>2500000</v>
      </c>
      <c r="G1195" s="11"/>
      <c r="H1195" s="11"/>
    </row>
    <row r="1196" spans="1:9" x14ac:dyDescent="0.2">
      <c r="D1196" s="9">
        <v>20250080</v>
      </c>
      <c r="E1196" s="10" t="s">
        <v>590</v>
      </c>
      <c r="F1196" s="11">
        <v>15000000</v>
      </c>
      <c r="G1196" s="11">
        <v>20000000</v>
      </c>
      <c r="H1196" s="11">
        <v>7400000</v>
      </c>
    </row>
    <row r="1197" spans="1:9" x14ac:dyDescent="0.2">
      <c r="D1197" s="9">
        <v>20250207</v>
      </c>
      <c r="E1197" s="10" t="s">
        <v>592</v>
      </c>
      <c r="F1197" s="11">
        <v>300000</v>
      </c>
      <c r="G1197" s="11">
        <v>300000</v>
      </c>
      <c r="H1197" s="11">
        <v>300000</v>
      </c>
    </row>
    <row r="1198" spans="1:9" x14ac:dyDescent="0.2">
      <c r="D1198" s="9">
        <v>20250229</v>
      </c>
      <c r="E1198" s="10" t="s">
        <v>594</v>
      </c>
      <c r="F1198" s="11">
        <v>7000000</v>
      </c>
      <c r="G1198" s="11">
        <v>15000000</v>
      </c>
      <c r="H1198" s="11"/>
    </row>
    <row r="1199" spans="1:9" x14ac:dyDescent="0.2">
      <c r="D1199" s="9">
        <v>20250230</v>
      </c>
      <c r="E1199" s="10" t="s">
        <v>595</v>
      </c>
      <c r="F1199" s="11">
        <f>1500000-1500000</f>
        <v>0</v>
      </c>
      <c r="G1199" s="11">
        <f>10000000-10000000</f>
        <v>0</v>
      </c>
      <c r="H1199" s="11">
        <f>15000000-15000000</f>
        <v>0</v>
      </c>
    </row>
    <row r="1200" spans="1:9" x14ac:dyDescent="0.2">
      <c r="D1200" s="9">
        <v>20250238</v>
      </c>
      <c r="E1200" s="10" t="s">
        <v>596</v>
      </c>
      <c r="F1200" s="11"/>
      <c r="G1200" s="11">
        <v>13043480</v>
      </c>
      <c r="H1200" s="11">
        <v>13913040</v>
      </c>
    </row>
    <row r="1201" spans="1:12" x14ac:dyDescent="0.2">
      <c r="D1201" s="9">
        <v>20250363</v>
      </c>
      <c r="E1201" s="10" t="s">
        <v>711</v>
      </c>
      <c r="F1201" s="11">
        <v>10000000</v>
      </c>
      <c r="G1201" s="11">
        <v>3000000</v>
      </c>
      <c r="H1201" s="11">
        <v>2000000</v>
      </c>
    </row>
    <row r="1203" spans="1:12" x14ac:dyDescent="0.2">
      <c r="C1203" s="10" t="s">
        <v>13</v>
      </c>
      <c r="E1203" s="19" t="str">
        <f>C1203</f>
        <v>Capital Total</v>
      </c>
      <c r="F1203" s="20">
        <f>SUM(F1156:F1202)</f>
        <v>100035080</v>
      </c>
      <c r="G1203" s="20">
        <f>SUM(G1156:G1202)</f>
        <v>274158520</v>
      </c>
      <c r="H1203" s="20">
        <f>SUM(H1156:H1202)</f>
        <v>252537420</v>
      </c>
    </row>
    <row r="1204" spans="1:12" x14ac:dyDescent="0.2">
      <c r="A1204" s="10" t="s">
        <v>143</v>
      </c>
      <c r="D1204" s="31"/>
    </row>
    <row r="1205" spans="1:12" x14ac:dyDescent="0.2">
      <c r="D1205" s="31"/>
      <c r="E1205" s="22" t="s">
        <v>144</v>
      </c>
      <c r="F1205" s="24">
        <f>F1203+F1152+F1141+F1135+F1044+F1010+F1001+F902+F860+F818</f>
        <v>1292105940</v>
      </c>
      <c r="G1205" s="24">
        <f>G1203+G1152+G1141+G1135+G1044+G1010+G1001+G902+G860+G818</f>
        <v>1073147570</v>
      </c>
      <c r="H1205" s="24">
        <f>H1203+H1152+H1141+H1135+H1044+H1010+H1001+H902+H860+H818</f>
        <v>1002439480</v>
      </c>
      <c r="J1205" s="95"/>
      <c r="K1205" s="95"/>
      <c r="L1205" s="95"/>
    </row>
    <row r="1206" spans="1:12" x14ac:dyDescent="0.2">
      <c r="E1206" s="32"/>
    </row>
    <row r="1207" spans="1:12" x14ac:dyDescent="0.2">
      <c r="E1207" s="19" t="s">
        <v>145</v>
      </c>
      <c r="F1207" s="7">
        <f>F11+F26+F38+F61+F70+F81+F91+F99+F109+F121+F130+F140+F150+F162++F176+F189+F203+F214+F229+F241+F252+F264+F276+F288+F301+F311+F320+F327+F353+F364+F382+F392+F410+F421+F431+F442+F456+F468+F481+F506+F534+F545+F556+F566+F579+F594+F614+F639+F650+F660+F672+F685+F700+F726+F736+F744+F753+F763+F773+F792+F1205</f>
        <v>2086511000</v>
      </c>
      <c r="G1207" s="7">
        <f>G11+G26+G38+G61+G70+G81+G91+G99+G109+G121+G130+G140+G150+G162++G176+G189+G203+G214+G229+G241+G252+G264+G276+G288+G301+G311+G320+G327+G353+G364+G382+G392+G410+G421+G431+G442+G456+G468+G481+G506+G534+G545+G556+G566+G579+G594+G614+G639+G650+G660+G672+G685+G700+G726+G736+G744+G753+G763+G773+G792+G1205</f>
        <v>1620084550</v>
      </c>
      <c r="H1207" s="7">
        <f>H11+H26+H38+H61+H70+H81+H91+H99+H109+H121+H130+H140+H150+H162++H176+H189+H203+H214+H229+H241+H252+H264+H276+H288+H301+H311+H320+H327+H353+H364+H382+H392+H410+H421+H431+H442+H456+H468+H481+H506+H534+H545+H556+H566+H579+H594+H614+H639+H650+H660+H672+H685+H700+H726+H736+H744+H753+H763+H773+H792+H1205</f>
        <v>1605105100</v>
      </c>
      <c r="I1207" s="11"/>
    </row>
    <row r="1209" spans="1:12" ht="12" thickBot="1" x14ac:dyDescent="0.25">
      <c r="E1209" s="19" t="s">
        <v>174</v>
      </c>
      <c r="F1209" s="24">
        <f>F1210+F1211+F1212</f>
        <v>114032793</v>
      </c>
      <c r="G1209" s="24">
        <f t="shared" ref="G1209:H1209" si="36">G1210+G1211+G1212</f>
        <v>6000000</v>
      </c>
      <c r="H1209" s="24">
        <f t="shared" si="36"/>
        <v>6000000</v>
      </c>
    </row>
    <row r="1210" spans="1:12" x14ac:dyDescent="0.2">
      <c r="E1210" s="10" t="s">
        <v>172</v>
      </c>
      <c r="F1210" s="16">
        <f>100000*60</f>
        <v>6000000</v>
      </c>
      <c r="G1210" s="86">
        <f t="shared" ref="G1210:H1210" si="37">100000*60</f>
        <v>6000000</v>
      </c>
      <c r="H1210" s="87">
        <f t="shared" si="37"/>
        <v>6000000</v>
      </c>
    </row>
    <row r="1211" spans="1:12" x14ac:dyDescent="0.2">
      <c r="E1211" s="10" t="s">
        <v>173</v>
      </c>
      <c r="F1211" s="96">
        <f>+F728+F727+F661+F640+F580+F535+F411+F354+F328+F289+F190</f>
        <v>108032793</v>
      </c>
      <c r="G1211" s="97"/>
      <c r="H1211" s="98"/>
    </row>
    <row r="1212" spans="1:12" ht="12" thickBot="1" x14ac:dyDescent="0.25">
      <c r="E1212" s="10" t="s">
        <v>153</v>
      </c>
      <c r="F1212" s="17"/>
      <c r="G1212" s="88"/>
      <c r="H1212" s="89"/>
    </row>
    <row r="1213" spans="1:12" ht="12" thickBot="1" x14ac:dyDescent="0.25">
      <c r="E1213" s="23" t="s">
        <v>146</v>
      </c>
      <c r="F1213" s="33">
        <f>F1207+F1209</f>
        <v>2200543793</v>
      </c>
      <c r="G1213" s="33">
        <f>G1207+G1209</f>
        <v>1626084550</v>
      </c>
      <c r="H1213" s="33">
        <f>H1207+H1209</f>
        <v>1611105100</v>
      </c>
      <c r="J1213" s="11"/>
    </row>
    <row r="1214" spans="1:12" ht="12" thickTop="1" x14ac:dyDescent="0.2"/>
    <row r="1215" spans="1:12" x14ac:dyDescent="0.2">
      <c r="E1215" s="10" t="s">
        <v>147</v>
      </c>
      <c r="F1215" s="8">
        <v>2086511000</v>
      </c>
      <c r="G1215" s="8">
        <v>1620084550</v>
      </c>
      <c r="H1215" s="8">
        <v>1605105100</v>
      </c>
    </row>
    <row r="1216" spans="1:12" x14ac:dyDescent="0.2">
      <c r="E1216" s="10" t="s">
        <v>148</v>
      </c>
      <c r="F1216" s="11">
        <f>F1215-F1207</f>
        <v>0</v>
      </c>
      <c r="G1216" s="11">
        <f>G1215-G1207</f>
        <v>0</v>
      </c>
      <c r="H1216" s="11">
        <f>H1215-H1207</f>
        <v>0</v>
      </c>
    </row>
    <row r="1217" spans="6:8" x14ac:dyDescent="0.2">
      <c r="F1217" s="11"/>
      <c r="G1217" s="11"/>
      <c r="H1217" s="11"/>
    </row>
    <row r="1218" spans="6:8" x14ac:dyDescent="0.2">
      <c r="F1218" s="11"/>
      <c r="G1218" s="11"/>
      <c r="H1218" s="11"/>
    </row>
    <row r="1219" spans="6:8" x14ac:dyDescent="0.2">
      <c r="F1219" s="11"/>
    </row>
    <row r="1220" spans="6:8" x14ac:dyDescent="0.2">
      <c r="F1220" s="11"/>
      <c r="G1220" s="11"/>
      <c r="H1220" s="11"/>
    </row>
    <row r="1221" spans="6:8" x14ac:dyDescent="0.2">
      <c r="F1221" s="90"/>
      <c r="G1221" s="90"/>
      <c r="H1221" s="90"/>
    </row>
    <row r="1222" spans="6:8" x14ac:dyDescent="0.2">
      <c r="F1222" s="90"/>
    </row>
    <row r="1223" spans="6:8" x14ac:dyDescent="0.2">
      <c r="F1223" s="11"/>
    </row>
  </sheetData>
  <sortState xmlns:xlrd2="http://schemas.microsoft.com/office/spreadsheetml/2017/richdata2" ref="A600:L612">
    <sortCondition ref="D600:D612"/>
  </sortState>
  <customSheetViews>
    <customSheetView guid="{C88A3AD5-50F8-4B91-8F9B-D2C3AEF135D6}" scale="110" showPageBreaks="1" printArea="1" hiddenRows="1" hiddenColumns="1" view="pageBreakPreview" topLeftCell="D1">
      <selection activeCell="E21" sqref="E21"/>
      <rowBreaks count="30" manualBreakCount="30">
        <brk id="35" min="2" max="7" man="1"/>
        <brk id="75" min="2" max="7" man="1"/>
        <brk id="154" min="2" max="7" man="1"/>
        <brk id="211" min="2" max="7" man="1"/>
        <brk id="248" min="2" max="7" man="1"/>
        <brk id="292" min="2" max="7" man="1"/>
        <brk id="332" min="2" max="7" man="1"/>
        <brk id="378" min="2" max="7" man="1"/>
        <brk id="437" min="2" max="7" man="1"/>
        <brk id="507" min="2" max="7" man="1"/>
        <brk id="567" min="2" max="7" man="1"/>
        <brk id="655" min="2" max="7" man="1"/>
        <brk id="700" min="2" max="7" man="1"/>
        <brk id="758" min="2" max="7" man="1"/>
        <brk id="812" min="2" max="7" man="1"/>
        <brk id="865" min="2" max="7" man="1"/>
        <brk id="898" min="2" max="7" man="1"/>
        <brk id="944" min="2" max="7" man="1"/>
        <brk id="989" min="2" max="7" man="1"/>
        <brk id="1085" min="2" max="7" man="1"/>
        <brk id="1132" min="2" max="7" man="1"/>
        <brk id="1163" min="2" max="7" man="1"/>
        <brk id="1179" min="2" max="7" man="1"/>
        <brk id="1232" min="2" max="7" man="1"/>
        <brk id="1245" min="2" max="7" man="1"/>
        <brk id="1288" min="2" max="7" man="1"/>
        <brk id="1318" min="2" max="7" man="1"/>
        <brk id="1340" min="2" max="7" man="1"/>
        <brk id="1374" min="2" max="7" man="1"/>
        <brk id="1395" min="2" max="7" man="1"/>
      </rowBreaks>
      <pageMargins left="0.70866141732283472" right="0.70866141732283472" top="0.74803149606299213" bottom="0.74803149606299213" header="0.31496062992125984" footer="0.31496062992125984"/>
      <printOptions gridLines="1"/>
      <pageSetup paperSize="9" fitToHeight="0" orientation="landscape" r:id="rId1"/>
    </customSheetView>
    <customSheetView guid="{78757FD7-DFC2-494C-8A67-2716F2A60BD1}" showPageBreaks="1" fitToPage="1" printArea="1" hiddenColumns="1" view="pageBreakPreview" topLeftCell="D345">
      <selection activeCell="H379" sqref="H379"/>
      <rowBreaks count="28" manualBreakCount="28">
        <brk id="56" max="16383" man="1"/>
        <brk id="104" max="16383" man="1"/>
        <brk id="152" max="16383" man="1"/>
        <brk id="209" max="16383" man="1"/>
        <brk id="281" min="2" max="7" man="1"/>
        <brk id="343" max="16383" man="1"/>
        <brk id="366" max="16383" man="1"/>
        <brk id="412" max="16383" man="1"/>
        <brk id="459" max="16383" man="1"/>
        <brk id="512" max="16383" man="1"/>
        <brk id="564" max="16383" man="1"/>
        <brk id="620" max="16383" man="1"/>
        <brk id="677" max="16383" man="1"/>
        <brk id="692" max="16383" man="1"/>
        <brk id="750" max="16383" man="1"/>
        <brk id="824" min="2" max="7" man="1"/>
        <brk id="883" max="16383" man="1"/>
        <brk id="926" max="16383" man="1"/>
        <brk id="970" max="16383" man="1"/>
        <brk id="1023" max="16383" man="1"/>
        <brk id="1078" max="16383" man="1"/>
        <brk id="1168" max="16383" man="1"/>
        <brk id="1234" min="2" max="7" man="1"/>
        <brk id="1274" max="16383" man="1"/>
        <brk id="1295" max="16383" man="1"/>
        <brk id="1335" max="16383" man="1"/>
        <brk id="1378" min="2" max="7" man="1"/>
        <brk id="1420" min="2" max="7" man="1"/>
      </rowBreaks>
      <pageMargins left="0.70866141732283472" right="0.70866141732283472" top="0.74803149606299213" bottom="0.74803149606299213" header="0.31496062992125984" footer="0.31496062992125984"/>
      <printOptions gridLines="1"/>
      <pageSetup paperSize="9" fitToHeight="0" orientation="landscape" r:id="rId2"/>
    </customSheetView>
    <customSheetView guid="{A1492C60-36B1-4A16-A9C7-0301CFB06009}" showPageBreaks="1" fitToPage="1" printArea="1" hiddenColumns="1" view="pageBreakPreview" topLeftCell="F1484">
      <selection activeCell="H1434" sqref="H1434"/>
      <rowBreaks count="25" manualBreakCount="25">
        <brk id="33" max="16383" man="1"/>
        <brk id="68" max="16383" man="1"/>
        <brk id="108" max="16383" man="1"/>
        <brk id="194" min="2" max="7" man="1"/>
        <brk id="279" max="16383" man="1"/>
        <brk id="316" max="16383" man="1"/>
        <brk id="357" max="16383" man="1"/>
        <brk id="403" max="16383" man="1"/>
        <brk id="459" max="16383" man="1"/>
        <brk id="516" max="16383" man="1"/>
        <brk id="531" max="16383" man="1"/>
        <brk id="591" max="16383" man="1"/>
        <brk id="665" min="2" max="7" man="1"/>
        <brk id="724" max="16383" man="1"/>
        <brk id="767" max="16383" man="1"/>
        <brk id="811" max="16383" man="1"/>
        <brk id="864" max="16383" man="1"/>
        <brk id="919" max="16383" man="1"/>
        <brk id="1009" max="16383" man="1"/>
        <brk id="1075" min="2" max="7" man="1"/>
        <brk id="1115" max="16383" man="1"/>
        <brk id="1136" max="16383" man="1"/>
        <brk id="1176" max="16383" man="1"/>
        <brk id="1219" min="2" max="7" man="1"/>
        <brk id="1261" min="2" max="7" man="1"/>
      </rowBreaks>
      <pageMargins left="0.70866141732283472" right="0.70866141732283472" top="0.74803149606299213" bottom="0.74803149606299213" header="0.31496062992125984" footer="0.31496062992125984"/>
      <printOptions gridLines="1"/>
      <pageSetup paperSize="9" fitToHeight="0" orientation="landscape" r:id="rId3"/>
    </customSheetView>
    <customSheetView guid="{D5FF86BA-2053-4CFD-95B6-9FE54B4CDC7B}" showPageBreaks="1" fitToPage="1" printArea="1" hiddenColumns="1" view="pageBreakPreview" topLeftCell="D448">
      <selection activeCell="E473" sqref="E473"/>
      <rowBreaks count="24" manualBreakCount="24">
        <brk id="33" max="16383" man="1"/>
        <brk id="68" max="16383" man="1"/>
        <brk id="108" max="16383" man="1"/>
        <brk id="194" min="2" max="7" man="1"/>
        <brk id="279" max="16383" man="1"/>
        <brk id="316" max="16383" man="1"/>
        <brk id="357" max="16383" man="1"/>
        <brk id="403" max="16383" man="1"/>
        <brk id="459" max="16383" man="1"/>
        <brk id="516" max="16383" man="1"/>
        <brk id="531" max="16383" man="1"/>
        <brk id="591" max="16383" man="1"/>
        <brk id="665" min="2" max="7" man="1"/>
        <brk id="724" max="16383" man="1"/>
        <brk id="767" max="16383" man="1"/>
        <brk id="811" max="16383" man="1"/>
        <brk id="864" max="16383" man="1"/>
        <brk id="1015" max="16383" man="1"/>
        <brk id="1081" min="2" max="7" man="1"/>
        <brk id="1129" max="16383" man="1"/>
        <brk id="1150" max="16383" man="1"/>
        <brk id="1193" max="16383" man="1"/>
        <brk id="1281" min="2" max="7" man="1"/>
        <brk id="1323" min="2" max="7" man="1"/>
      </rowBreaks>
      <pageMargins left="0.70866141732283472" right="0.70866141732283472" top="0.74803149606299213" bottom="0.74803149606299213" header="0.31496062992125984" footer="0.31496062992125984"/>
      <printOptions gridLines="1"/>
      <pageSetup paperSize="9" fitToHeight="0" orientation="landscape" r:id="rId4"/>
    </customSheetView>
    <customSheetView guid="{8CAF43BF-41C1-40C8-9592-7D0779DDD594}" scale="108" showPageBreaks="1" printArea="1" hiddenRows="1" hiddenColumns="1" view="pageBreakPreview" topLeftCell="D1518">
      <selection activeCell="G1656" sqref="G1656:H1656"/>
      <rowBreaks count="36" manualBreakCount="36">
        <brk id="60" max="16383" man="1"/>
        <brk id="103" max="7" man="1"/>
        <brk id="147" max="7" man="1"/>
        <brk id="195" max="7" man="1"/>
        <brk id="246" max="7" man="1"/>
        <brk id="304" max="7" man="1"/>
        <brk id="365" max="7" man="1"/>
        <brk id="408" max="7" man="1"/>
        <brk id="454" max="7" man="1"/>
        <brk id="503" max="16383" man="1"/>
        <brk id="540" max="7" man="1"/>
        <brk id="577" max="7" man="1"/>
        <brk id="621" max="7" man="1"/>
        <brk id="655" max="7" man="1"/>
        <brk id="710" max="7" man="1"/>
        <brk id="753" max="7" man="1"/>
        <brk id="789" max="7" man="1"/>
        <brk id="818" max="7" man="1"/>
        <brk id="857" max="7" man="1"/>
        <brk id="901" max="7" man="1"/>
        <brk id="933" max="7" man="1"/>
        <brk id="982" max="7" man="1"/>
        <brk id="1032" max="7" man="1"/>
        <brk id="1080" max="7" man="1"/>
        <brk id="1096" max="7" man="1"/>
        <brk id="1141" max="16383" man="1"/>
        <brk id="1194" max="16383" man="1"/>
        <brk id="1246" max="7" man="1"/>
        <brk id="1292" max="7" man="1"/>
        <brk id="1346" max="7" man="1"/>
        <brk id="1401" max="7" man="1"/>
        <brk id="1433" max="16383" man="1"/>
        <brk id="1462" max="7" man="1"/>
        <brk id="1490" max="16383" man="1"/>
        <brk id="1523" max="7" man="1"/>
        <brk id="1558" max="7" man="1"/>
      </rowBreaks>
      <pageMargins left="0.70866141732283472" right="0.70866141732283472" top="0.74803149606299213" bottom="0.74803149606299213" header="0.31496062992125984" footer="0.31496062992125984"/>
      <printOptions gridLines="1"/>
      <pageSetup paperSize="9" fitToHeight="0" orientation="landscape" r:id="rId5"/>
    </customSheetView>
    <customSheetView guid="{FB7BF25A-32DD-49B7-ACF8-F568DF95AB24}" scale="110" showPageBreaks="1" printArea="1" hiddenColumns="1" view="pageBreakPreview" topLeftCell="D168">
      <selection activeCell="E168" sqref="E168"/>
      <rowBreaks count="36" manualBreakCount="36">
        <brk id="45" min="2" max="7" man="1"/>
        <brk id="90" min="2" max="7" man="1"/>
        <brk id="139" min="2" max="7" man="1"/>
        <brk id="184" min="2" max="7" man="1"/>
        <brk id="237" min="2" max="7" man="1"/>
        <brk id="293" min="2" max="7" man="1"/>
        <brk id="339" min="2" max="7" man="1"/>
        <brk id="402" min="2" max="7" man="1"/>
        <brk id="448" min="2" max="7" man="1"/>
        <brk id="499" min="2" max="7" man="1"/>
        <brk id="533" min="2" max="7" man="1"/>
        <brk id="583" min="2" max="7" man="1"/>
        <brk id="627" min="2" max="7" man="1"/>
        <brk id="662" min="2" max="7" man="1"/>
        <brk id="712" min="2" max="7" man="1"/>
        <brk id="755" min="2" max="7" man="1"/>
        <brk id="790" min="2" max="7" man="1"/>
        <brk id="838" min="2" max="7" man="1"/>
        <brk id="860" min="2" max="7" man="1"/>
        <brk id="905" min="2" max="7" man="1"/>
        <brk id="942" min="2" max="7" man="1"/>
        <brk id="971" min="2" max="7" man="1"/>
        <brk id="1005" min="2" max="7" man="1"/>
        <brk id="1051" min="2" max="7" man="1"/>
        <brk id="1088" min="2" max="7" man="1"/>
        <brk id="1121" min="2" max="7" man="1"/>
        <brk id="1155" min="2" max="7" man="1"/>
        <brk id="1200" min="2" max="7" man="1"/>
        <brk id="1246" min="2" max="7" man="1"/>
        <brk id="1290" min="2" max="7" man="1"/>
        <brk id="1333" min="2" max="7" man="1"/>
        <brk id="1363" min="2" max="7" man="1"/>
        <brk id="1385" min="2" max="7" man="1"/>
        <brk id="1419" min="2" max="7" man="1"/>
        <brk id="1452" min="2" max="7" man="1"/>
        <brk id="1486" min="2" max="7" man="1"/>
      </rowBreaks>
      <pageMargins left="0.70866141732283472" right="0.70866141732283472" top="0.74803149606299213" bottom="0.74803149606299213" header="0.31496062992125984" footer="0.31496062992125984"/>
      <printOptions gridLines="1"/>
      <pageSetup paperSize="9" fitToHeight="0" orientation="landscape" r:id="rId6"/>
    </customSheetView>
    <customSheetView guid="{40B5F373-839B-4B7C-B57D-099CD7F66716}" showPageBreaks="1" fitToPage="1" printArea="1" hiddenColumns="1" view="pageBreakPreview" topLeftCell="D781">
      <selection activeCell="D789" sqref="D789:H789"/>
      <rowBreaks count="28" manualBreakCount="28">
        <brk id="62" max="16383" man="1"/>
        <brk id="111" max="16383" man="1"/>
        <brk id="159" max="16383" man="1"/>
        <brk id="220" max="16383" man="1"/>
        <brk id="294" min="3" max="7" man="1"/>
        <brk id="356" max="16383" man="1"/>
        <brk id="379" max="16383" man="1"/>
        <brk id="426" max="16383" man="1"/>
        <brk id="475" max="16383" man="1"/>
        <brk id="528" max="16383" man="1"/>
        <brk id="581" max="16383" man="1"/>
        <brk id="638" max="16383" man="1"/>
        <brk id="695" max="16383" man="1"/>
        <brk id="710" max="16383" man="1"/>
        <brk id="769" max="16383" man="1"/>
        <brk id="844" min="3" max="7" man="1"/>
        <brk id="907" max="16383" man="1"/>
        <brk id="950" max="16383" man="1"/>
        <brk id="994" max="16383" man="1"/>
        <brk id="1047" max="16383" man="1"/>
        <brk id="1102" max="16383" man="1"/>
        <brk id="1192" max="16383" man="1"/>
        <brk id="1258" min="3" max="7" man="1"/>
        <brk id="1298" max="16383" man="1"/>
        <brk id="1319" max="16383" man="1"/>
        <brk id="1359" max="16383" man="1"/>
        <brk id="1402" min="3" max="7" man="1"/>
        <brk id="1444" min="2" max="7" man="1"/>
      </rowBreaks>
      <pageMargins left="0.70866141732283472" right="0.70866141732283472" top="0.74803149606299213" bottom="0.74803149606299213" header="0.31496062992125984" footer="0.31496062992125984"/>
      <printOptions gridLines="1"/>
      <pageSetup paperSize="9" fitToHeight="0" orientation="landscape" r:id="rId7"/>
    </customSheetView>
    <customSheetView guid="{F9FB8016-B2C5-4FFE-9457-216469B03252}" showPageBreaks="1" printArea="1" hiddenRows="1" hiddenColumns="1" view="pageBreakPreview" topLeftCell="D750">
      <selection activeCell="D771" sqref="A771:XFD776"/>
      <rowBreaks count="29" manualBreakCount="29">
        <brk id="40" min="3" max="7" man="1"/>
        <brk id="82" min="3" max="7" man="1"/>
        <brk id="133" min="3" max="7" man="1"/>
        <brk id="171" min="3" max="7" man="1"/>
        <brk id="229" min="3" max="7" man="1"/>
        <brk id="266" min="3" max="7" man="1"/>
        <brk id="310" min="3" max="7" man="1"/>
        <brk id="350" min="3" max="7" man="1"/>
        <brk id="396" min="3" max="7" man="1"/>
        <brk id="455" min="3" max="7" man="1"/>
        <brk id="525" min="3" max="7" man="1"/>
        <brk id="585" min="3" max="7" man="1"/>
        <brk id="673" min="3" max="7" man="1"/>
        <brk id="718" min="3" max="7" man="1"/>
        <brk id="776" min="3" max="7" man="1"/>
        <brk id="830" min="3" max="7" man="1"/>
        <brk id="883" min="3" max="7" man="1"/>
        <brk id="916" min="3" max="7" man="1"/>
        <brk id="962" min="3" max="7" man="1"/>
        <brk id="1007" min="3" max="7" man="1"/>
        <brk id="1104" min="3" max="7" man="1"/>
        <brk id="1151" min="3" max="7" man="1"/>
        <brk id="1181" min="3" max="7" man="1"/>
        <brk id="1227" min="3" max="7" man="1"/>
        <brk id="1249" min="3" max="7" man="1"/>
        <brk id="1282" min="3" max="7" man="1"/>
        <brk id="1324" min="3" max="7" man="1"/>
        <brk id="1369" min="3" max="7" man="1"/>
        <brk id="1410" min="3" max="7" man="1"/>
      </rowBreaks>
      <pageMargins left="0.70866141732283472" right="0.70866141732283472" top="0.74803149606299213" bottom="0.74803149606299213" header="0.31496062992125984" footer="0.31496062992125984"/>
      <printOptions gridLines="1"/>
      <pageSetup paperSize="9" fitToHeight="0" orientation="landscape" r:id="rId8"/>
    </customSheetView>
  </customSheetViews>
  <mergeCells count="75">
    <mergeCell ref="D1144:I1144"/>
    <mergeCell ref="D1154:I1154"/>
    <mergeCell ref="D1003:I1003"/>
    <mergeCell ref="D1115:I1115"/>
    <mergeCell ref="D949:I949"/>
    <mergeCell ref="D1012:I1012"/>
    <mergeCell ref="D1046:I1046"/>
    <mergeCell ref="D1137:I1137"/>
    <mergeCell ref="D1081:H1081"/>
    <mergeCell ref="D990:I990"/>
    <mergeCell ref="D820:I820"/>
    <mergeCell ref="D862:I862"/>
    <mergeCell ref="D705:I705"/>
    <mergeCell ref="D732:I732"/>
    <mergeCell ref="D740:I740"/>
    <mergeCell ref="D748:I748"/>
    <mergeCell ref="D757:I757"/>
    <mergeCell ref="D904:I904"/>
    <mergeCell ref="D689:I689"/>
    <mergeCell ref="D539:I539"/>
    <mergeCell ref="D549:I549"/>
    <mergeCell ref="D559:I559"/>
    <mergeCell ref="D570:I570"/>
    <mergeCell ref="D584:I584"/>
    <mergeCell ref="D598:I598"/>
    <mergeCell ref="D618:I618"/>
    <mergeCell ref="D644:I644"/>
    <mergeCell ref="D654:I654"/>
    <mergeCell ref="D665:I665"/>
    <mergeCell ref="D676:I676"/>
    <mergeCell ref="D767:I767"/>
    <mergeCell ref="D777:I777"/>
    <mergeCell ref="D797:I797"/>
    <mergeCell ref="D510:I510"/>
    <mergeCell ref="D358:I358"/>
    <mergeCell ref="D369:I369"/>
    <mergeCell ref="D386:I386"/>
    <mergeCell ref="D396:I396"/>
    <mergeCell ref="D415:I415"/>
    <mergeCell ref="D425:I425"/>
    <mergeCell ref="D435:I435"/>
    <mergeCell ref="D447:I447"/>
    <mergeCell ref="D461:I461"/>
    <mergeCell ref="D472:I472"/>
    <mergeCell ref="D486:I486"/>
    <mergeCell ref="D332:I332"/>
    <mergeCell ref="D207:I207"/>
    <mergeCell ref="D218:I218"/>
    <mergeCell ref="D233:I233"/>
    <mergeCell ref="D245:I245"/>
    <mergeCell ref="D256:I256"/>
    <mergeCell ref="D269:I269"/>
    <mergeCell ref="D280:I280"/>
    <mergeCell ref="D292:I292"/>
    <mergeCell ref="D305:I305"/>
    <mergeCell ref="D315:I315"/>
    <mergeCell ref="D324:I324"/>
    <mergeCell ref="D194:I194"/>
    <mergeCell ref="D74:I74"/>
    <mergeCell ref="D85:I85"/>
    <mergeCell ref="D95:I95"/>
    <mergeCell ref="D104:I104"/>
    <mergeCell ref="D113:I113"/>
    <mergeCell ref="D125:I125"/>
    <mergeCell ref="D134:I134"/>
    <mergeCell ref="D144:I144"/>
    <mergeCell ref="D154:I154"/>
    <mergeCell ref="D166:I166"/>
    <mergeCell ref="D180:I180"/>
    <mergeCell ref="D65:I65"/>
    <mergeCell ref="D1:I1"/>
    <mergeCell ref="D5:I5"/>
    <mergeCell ref="D15:I15"/>
    <mergeCell ref="D30:I30"/>
    <mergeCell ref="D42:I42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9"/>
  <rowBreaks count="33" manualBreakCount="33">
    <brk id="41" min="3" max="7" man="1"/>
    <brk id="85" min="3" max="7" man="1"/>
    <brk id="123" min="3" max="7" man="1"/>
    <brk id="153" min="3" max="7" man="1"/>
    <brk id="193" min="3" max="7" man="1"/>
    <brk id="232" min="3" max="7" man="1"/>
    <brk id="279" min="3" max="7" man="1"/>
    <brk id="314" min="3" max="7" man="1"/>
    <brk id="356" min="3" max="7" man="1"/>
    <brk id="395" min="3" max="7" man="1"/>
    <brk id="434" min="3" max="7" man="1"/>
    <brk id="471" min="3" max="7" man="1"/>
    <brk id="509" min="3" max="7" man="1"/>
    <brk id="548" min="3" max="7" man="1"/>
    <brk id="583" min="3" max="7" man="1"/>
    <brk id="617" min="3" max="7" man="1"/>
    <brk id="653" min="3" max="7" man="1"/>
    <brk id="688" min="3" max="7" man="1"/>
    <brk id="730" min="3" max="7" man="1"/>
    <brk id="756" min="3" max="7" man="1"/>
    <brk id="796" min="3" max="7" man="1"/>
    <brk id="819" min="3" max="7" man="1"/>
    <brk id="860" min="3" max="7" man="1"/>
    <brk id="903" min="3" max="7" man="1"/>
    <brk id="948" min="3" max="7" man="1"/>
    <brk id="989" min="3" max="7" man="1"/>
    <brk id="1001" min="3" max="7" man="1"/>
    <brk id="1044" min="3" max="7" man="1"/>
    <brk id="1080" min="3" max="7" man="1"/>
    <brk id="1114" min="3" max="7" man="1"/>
    <brk id="1136" min="3" max="7" man="1"/>
    <brk id="1153" min="3" max="7" man="1"/>
    <brk id="1189" min="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003C-7534-4F39-B527-785773FBED33}">
  <sheetPr>
    <tabColor rgb="FFFFC000"/>
  </sheetPr>
  <dimension ref="B1:F12"/>
  <sheetViews>
    <sheetView zoomScale="144" zoomScaleNormal="144" workbookViewId="0">
      <selection activeCell="D12" sqref="D12"/>
    </sheetView>
  </sheetViews>
  <sheetFormatPr defaultColWidth="9.42578125" defaultRowHeight="12.75" x14ac:dyDescent="0.25"/>
  <cols>
    <col min="1" max="1" width="9.42578125" style="43"/>
    <col min="2" max="2" width="27" style="43" bestFit="1" customWidth="1"/>
    <col min="3" max="3" width="25.5703125" style="43" bestFit="1" customWidth="1"/>
    <col min="4" max="4" width="12.42578125" style="43" customWidth="1"/>
    <col min="5" max="5" width="10.140625" style="43" customWidth="1"/>
    <col min="6" max="6" width="12.42578125" style="61" customWidth="1"/>
    <col min="7" max="16384" width="9.42578125" style="43"/>
  </cols>
  <sheetData>
    <row r="1" spans="2:6" ht="13.5" thickBot="1" x14ac:dyDescent="0.3">
      <c r="B1" s="41" t="s">
        <v>154</v>
      </c>
      <c r="C1" s="42"/>
      <c r="D1" s="42"/>
    </row>
    <row r="2" spans="2:6" s="49" customFormat="1" ht="38.25" x14ac:dyDescent="0.25">
      <c r="B2" s="44" t="s">
        <v>155</v>
      </c>
      <c r="C2" s="45" t="s">
        <v>156</v>
      </c>
      <c r="D2" s="46" t="s">
        <v>157</v>
      </c>
      <c r="E2" s="47" t="s">
        <v>836</v>
      </c>
      <c r="F2" s="48" t="s">
        <v>158</v>
      </c>
    </row>
    <row r="3" spans="2:6" x14ac:dyDescent="0.25">
      <c r="B3" s="50" t="s">
        <v>159</v>
      </c>
      <c r="C3" s="51" t="s">
        <v>160</v>
      </c>
      <c r="D3" s="52">
        <v>12</v>
      </c>
      <c r="E3" s="53">
        <f>Report!F13+Report!F28+Report!F40+Report!F63+Report!F72+Report!F83+Report!F93+Report!F102+Report!F111+Report!F142+Report!F484+Report!F508</f>
        <v>159340460</v>
      </c>
      <c r="F3" s="54">
        <f>+SUM(E3/$E$9)</f>
        <v>0.17540050700639398</v>
      </c>
    </row>
    <row r="4" spans="2:6" x14ac:dyDescent="0.25">
      <c r="B4" s="50" t="s">
        <v>161</v>
      </c>
      <c r="C4" s="51" t="s">
        <v>162</v>
      </c>
      <c r="D4" s="52">
        <v>9</v>
      </c>
      <c r="E4" s="53">
        <f>Report!F164+Report!F178+Report!F192+Report!F205+Report!F216+Report!F231+Report!F243+Report!F254+Report!F267</f>
        <v>67724527</v>
      </c>
      <c r="F4" s="54">
        <f t="shared" ref="F4:F8" si="0">+SUM(E4/$E$9)</f>
        <v>7.4550533948303008E-2</v>
      </c>
    </row>
    <row r="5" spans="2:6" x14ac:dyDescent="0.25">
      <c r="B5" s="50" t="s">
        <v>163</v>
      </c>
      <c r="C5" s="51" t="s">
        <v>164</v>
      </c>
      <c r="D5" s="52">
        <v>10</v>
      </c>
      <c r="E5" s="62">
        <f>Report!F123+Report!F132+Report!F152+Report!F356+Report!F384+Report!F394+Report!F423+Report!F433+Report!F459+Report!F470</f>
        <v>174920513</v>
      </c>
      <c r="F5" s="54">
        <f t="shared" si="0"/>
        <v>0.19255088548143096</v>
      </c>
    </row>
    <row r="6" spans="2:6" x14ac:dyDescent="0.25">
      <c r="B6" s="50" t="s">
        <v>165</v>
      </c>
      <c r="C6" s="51" t="s">
        <v>166</v>
      </c>
      <c r="D6" s="52">
        <v>9</v>
      </c>
      <c r="E6" s="53">
        <f>Report!F291+Report!F303+Report!F313+Report!F322+Report!F330+Report!F367+Report!F413+Report!F445+Report!F537</f>
        <v>210736174</v>
      </c>
      <c r="F6" s="54">
        <f t="shared" si="0"/>
        <v>0.23197643438576529</v>
      </c>
    </row>
    <row r="7" spans="2:6" x14ac:dyDescent="0.25">
      <c r="B7" s="50" t="s">
        <v>167</v>
      </c>
      <c r="C7" s="51" t="s">
        <v>168</v>
      </c>
      <c r="D7" s="52">
        <v>9</v>
      </c>
      <c r="E7" s="53">
        <f>Report!F278+Report!F703+Report!F730+Report!F738+Report!F746+Report!F755+Report!F765+Report!F775+Report!F795</f>
        <v>172094285</v>
      </c>
      <c r="F7" s="54">
        <f t="shared" si="0"/>
        <v>0.18943979979662956</v>
      </c>
    </row>
    <row r="8" spans="2:6" x14ac:dyDescent="0.25">
      <c r="B8" s="50" t="s">
        <v>169</v>
      </c>
      <c r="C8" s="51" t="s">
        <v>170</v>
      </c>
      <c r="D8" s="52">
        <v>11</v>
      </c>
      <c r="E8" s="53">
        <f>Report!F547+Report!F558+Report!F568+Report!F582+Report!F596+Report!F616+Report!F642+Report!F652+Report!F663+Report!F674+Report!F687</f>
        <v>123621894</v>
      </c>
      <c r="F8" s="54">
        <f t="shared" si="0"/>
        <v>0.13608183938147719</v>
      </c>
    </row>
    <row r="9" spans="2:6" s="56" customFormat="1" ht="13.5" thickBot="1" x14ac:dyDescent="0.3">
      <c r="B9" s="63" t="s">
        <v>171</v>
      </c>
      <c r="C9" s="57"/>
      <c r="D9" s="58">
        <f>SUM(D3:D8)</f>
        <v>60</v>
      </c>
      <c r="E9" s="59">
        <f>SUM(E3:E8)</f>
        <v>908437853</v>
      </c>
      <c r="F9" s="64">
        <f>SUM(F3:F8)</f>
        <v>1</v>
      </c>
    </row>
    <row r="11" spans="2:6" x14ac:dyDescent="0.25">
      <c r="E11" s="60">
        <f>+E9-883538853</f>
        <v>24899000</v>
      </c>
    </row>
    <row r="12" spans="2:6" x14ac:dyDescent="0.25">
      <c r="E12" s="55"/>
    </row>
  </sheetData>
  <customSheetViews>
    <customSheetView guid="{C88A3AD5-50F8-4B91-8F9B-D2C3AEF135D6}" hiddenColumns="1" topLeftCell="A2">
      <selection activeCell="C2" sqref="C1:C1048576"/>
      <pageMargins left="0.7" right="0.7" top="0.75" bottom="0.75" header="0.3" footer="0.3"/>
    </customSheetView>
    <customSheetView guid="{78757FD7-DFC2-494C-8A67-2716F2A60BD1}" hiddenColumns="1" topLeftCell="A2">
      <selection activeCell="C2" sqref="C1:C1048576"/>
      <pageMargins left="0.7" right="0.7" top="0.75" bottom="0.75" header="0.3" footer="0.3"/>
    </customSheetView>
    <customSheetView guid="{A1492C60-36B1-4A16-A9C7-0301CFB06009}" hiddenColumns="1" topLeftCell="A2">
      <selection activeCell="C2" sqref="C1:C1048576"/>
      <pageMargins left="0.7" right="0.7" top="0.75" bottom="0.75" header="0.3" footer="0.3"/>
    </customSheetView>
    <customSheetView guid="{D5FF86BA-2053-4CFD-95B6-9FE54B4CDC7B}" hiddenColumns="1" topLeftCell="A2">
      <selection activeCell="C2" sqref="C1:C1048576"/>
      <pageMargins left="0.7" right="0.7" top="0.75" bottom="0.75" header="0.3" footer="0.3"/>
    </customSheetView>
    <customSheetView guid="{FB7BF25A-32DD-49B7-ACF8-F568DF95AB24}" hiddenColumns="1" topLeftCell="A2">
      <selection activeCell="C2" sqref="C1:C1048576"/>
      <pageMargins left="0.7" right="0.7" top="0.75" bottom="0.75" header="0.3" footer="0.3"/>
    </customSheetView>
    <customSheetView guid="{40B5F373-839B-4B7C-B57D-099CD7F66716}" hiddenColumns="1" topLeftCell="A2">
      <selection activeCell="C2" sqref="C1:C1048576"/>
      <pageMargins left="0.7" right="0.7" top="0.75" bottom="0.75" header="0.3" footer="0.3"/>
    </customSheetView>
    <customSheetView guid="{F9FB8016-B2C5-4FFE-9457-216469B03252}" hiddenColumns="1" topLeftCell="A2">
      <selection activeCell="C2" sqref="C1:C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BC4C-CC9A-498D-992A-C4D4B04357DE}">
  <sheetPr>
    <tabColor rgb="FF00B050"/>
  </sheetPr>
  <dimension ref="A1"/>
  <sheetViews>
    <sheetView workbookViewId="0">
      <selection activeCell="B12" sqref="B12"/>
    </sheetView>
  </sheetViews>
  <sheetFormatPr defaultRowHeight="15" x14ac:dyDescent="0.25"/>
  <sheetData/>
  <customSheetViews>
    <customSheetView guid="{C88A3AD5-50F8-4B91-8F9B-D2C3AEF135D6}">
      <selection activeCell="T11" sqref="T11"/>
      <pageMargins left="0.7" right="0.7" top="0.75" bottom="0.75" header="0.3" footer="0.3"/>
    </customSheetView>
    <customSheetView guid="{78757FD7-DFC2-494C-8A67-2716F2A60BD1}">
      <selection activeCell="T11" sqref="T11"/>
      <pageMargins left="0.7" right="0.7" top="0.75" bottom="0.75" header="0.3" footer="0.3"/>
    </customSheetView>
    <customSheetView guid="{A1492C60-36B1-4A16-A9C7-0301CFB06009}">
      <selection activeCell="T11" sqref="T11"/>
      <pageMargins left="0.7" right="0.7" top="0.75" bottom="0.75" header="0.3" footer="0.3"/>
    </customSheetView>
    <customSheetView guid="{D5FF86BA-2053-4CFD-95B6-9FE54B4CDC7B}">
      <selection activeCell="T11" sqref="T11"/>
      <pageMargins left="0.7" right="0.7" top="0.75" bottom="0.75" header="0.3" footer="0.3"/>
    </customSheetView>
    <customSheetView guid="{FB7BF25A-32DD-49B7-ACF8-F568DF95AB24}">
      <selection activeCell="T11" sqref="T11"/>
      <pageMargins left="0.7" right="0.7" top="0.75" bottom="0.75" header="0.3" footer="0.3"/>
    </customSheetView>
    <customSheetView guid="{40B5F373-839B-4B7C-B57D-099CD7F66716}">
      <selection activeCell="T11" sqref="T11"/>
      <pageMargins left="0.7" right="0.7" top="0.75" bottom="0.75" header="0.3" footer="0.3"/>
    </customSheetView>
    <customSheetView guid="{F9FB8016-B2C5-4FFE-9457-216469B03252}">
      <selection activeCell="T11" sqref="T11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63BD8-A2F2-4BB5-91A5-98C8B7AE5995}">
  <sheetPr>
    <tabColor rgb="FF0070C0"/>
  </sheetPr>
  <dimension ref="B1:F94"/>
  <sheetViews>
    <sheetView topLeftCell="A3" workbookViewId="0">
      <selection activeCell="C10" sqref="C10"/>
    </sheetView>
  </sheetViews>
  <sheetFormatPr defaultColWidth="8.7109375" defaultRowHeight="11.25" x14ac:dyDescent="0.2"/>
  <cols>
    <col min="1" max="1" width="8.7109375" style="66"/>
    <col min="2" max="2" width="13.28515625" style="65" bestFit="1" customWidth="1"/>
    <col min="3" max="4" width="18.5703125" style="66" customWidth="1"/>
    <col min="5" max="5" width="18.85546875" style="66" customWidth="1"/>
    <col min="6" max="6" width="17.28515625" style="66" customWidth="1"/>
    <col min="7" max="16384" width="8.7109375" style="66"/>
  </cols>
  <sheetData>
    <row r="1" spans="2:6" ht="12" thickBot="1" x14ac:dyDescent="0.25"/>
    <row r="2" spans="2:6" s="70" customFormat="1" ht="22.5" x14ac:dyDescent="0.2">
      <c r="B2" s="67" t="s">
        <v>868</v>
      </c>
      <c r="C2" s="68" t="s">
        <v>879</v>
      </c>
      <c r="D2" s="68" t="s">
        <v>880</v>
      </c>
      <c r="E2" s="68" t="s">
        <v>871</v>
      </c>
      <c r="F2" s="69" t="s">
        <v>870</v>
      </c>
    </row>
    <row r="3" spans="2:6" x14ac:dyDescent="0.2">
      <c r="B3" s="71">
        <v>1</v>
      </c>
      <c r="C3" s="72">
        <f>+[1]Report!$F$14</f>
        <v>100000</v>
      </c>
      <c r="D3" s="72">
        <v>19587850</v>
      </c>
      <c r="E3" s="72">
        <f>+Report!F13</f>
        <v>24387850</v>
      </c>
      <c r="F3" s="73">
        <f>-D3+E3</f>
        <v>4800000</v>
      </c>
    </row>
    <row r="4" spans="2:6" x14ac:dyDescent="0.2">
      <c r="B4" s="71">
        <f>+B3+1</f>
        <v>2</v>
      </c>
      <c r="C4" s="72">
        <f>+[1]Report!$F$25</f>
        <v>6870000</v>
      </c>
      <c r="D4" s="72">
        <v>9870000</v>
      </c>
      <c r="E4" s="72">
        <f>+Report!F28</f>
        <v>7870000</v>
      </c>
      <c r="F4" s="73">
        <f t="shared" ref="F4:F62" si="0">-D4+E4</f>
        <v>-2000000</v>
      </c>
    </row>
    <row r="5" spans="2:6" x14ac:dyDescent="0.2">
      <c r="B5" s="71">
        <f>+B4+1</f>
        <v>3</v>
      </c>
      <c r="C5" s="72">
        <f>+[1]Report!$F$35</f>
        <v>2100000</v>
      </c>
      <c r="D5" s="72">
        <v>3200000</v>
      </c>
      <c r="E5" s="72">
        <f>+Report!F40</f>
        <v>3200000</v>
      </c>
      <c r="F5" s="73">
        <f t="shared" si="0"/>
        <v>0</v>
      </c>
    </row>
    <row r="6" spans="2:6" x14ac:dyDescent="0.2">
      <c r="B6" s="71">
        <f t="shared" ref="B6:B62" si="1">+B5+1</f>
        <v>4</v>
      </c>
      <c r="C6" s="72">
        <f>+[1]Report!$F$55</f>
        <v>66700000</v>
      </c>
      <c r="D6" s="72">
        <v>75882610</v>
      </c>
      <c r="E6" s="72">
        <f>+Report!F63</f>
        <v>82882610</v>
      </c>
      <c r="F6" s="73">
        <f t="shared" si="0"/>
        <v>7000000</v>
      </c>
    </row>
    <row r="7" spans="2:6" x14ac:dyDescent="0.2">
      <c r="B7" s="71">
        <f t="shared" si="1"/>
        <v>5</v>
      </c>
      <c r="C7" s="72">
        <f>+[1]Report!$F$66</f>
        <v>20300000</v>
      </c>
      <c r="D7" s="72">
        <v>20300000</v>
      </c>
      <c r="E7" s="72">
        <f>+Report!F72</f>
        <v>16700000</v>
      </c>
      <c r="F7" s="73">
        <f t="shared" si="0"/>
        <v>-3600000</v>
      </c>
    </row>
    <row r="8" spans="2:6" x14ac:dyDescent="0.2">
      <c r="B8" s="71">
        <f t="shared" si="1"/>
        <v>6</v>
      </c>
      <c r="C8" s="72">
        <f>+[1]Report!$F$77</f>
        <v>700000</v>
      </c>
      <c r="D8" s="72">
        <v>600000</v>
      </c>
      <c r="E8" s="72">
        <f>+Report!F83</f>
        <v>1100000</v>
      </c>
      <c r="F8" s="73">
        <f t="shared" si="0"/>
        <v>500000</v>
      </c>
    </row>
    <row r="9" spans="2:6" x14ac:dyDescent="0.2">
      <c r="B9" s="71">
        <f t="shared" si="1"/>
        <v>7</v>
      </c>
      <c r="C9" s="72">
        <f>+[1]Report!$F$88</f>
        <v>6450000</v>
      </c>
      <c r="D9" s="72">
        <v>6450000</v>
      </c>
      <c r="E9" s="72">
        <f>+Report!F93</f>
        <v>5450000</v>
      </c>
      <c r="F9" s="73">
        <f t="shared" si="0"/>
        <v>-1000000</v>
      </c>
    </row>
    <row r="10" spans="2:6" x14ac:dyDescent="0.2">
      <c r="B10" s="71">
        <f t="shared" si="1"/>
        <v>8</v>
      </c>
      <c r="C10" s="72"/>
      <c r="D10" s="72">
        <v>100000</v>
      </c>
      <c r="E10" s="72">
        <f>+Report!F102</f>
        <v>2000000</v>
      </c>
      <c r="F10" s="73">
        <f t="shared" si="0"/>
        <v>1900000</v>
      </c>
    </row>
    <row r="11" spans="2:6" x14ac:dyDescent="0.2">
      <c r="B11" s="71">
        <f t="shared" si="1"/>
        <v>9</v>
      </c>
      <c r="C11" s="72"/>
      <c r="D11" s="72">
        <v>2600000</v>
      </c>
      <c r="E11" s="72">
        <f>+Report!F111</f>
        <v>1600000</v>
      </c>
      <c r="F11" s="73">
        <f t="shared" si="0"/>
        <v>-1000000</v>
      </c>
    </row>
    <row r="12" spans="2:6" x14ac:dyDescent="0.2">
      <c r="B12" s="71">
        <f t="shared" si="1"/>
        <v>10</v>
      </c>
      <c r="C12" s="72"/>
      <c r="D12" s="72">
        <v>2633910</v>
      </c>
      <c r="E12" s="72">
        <f>+Report!F123</f>
        <v>6653910</v>
      </c>
      <c r="F12" s="73">
        <f t="shared" si="0"/>
        <v>4020000</v>
      </c>
    </row>
    <row r="13" spans="2:6" x14ac:dyDescent="0.2">
      <c r="B13" s="71">
        <f t="shared" si="1"/>
        <v>11</v>
      </c>
      <c r="C13" s="72"/>
      <c r="D13" s="72">
        <v>3800000</v>
      </c>
      <c r="E13" s="72">
        <f>+Report!F132</f>
        <v>2800000</v>
      </c>
      <c r="F13" s="73">
        <f t="shared" si="0"/>
        <v>-1000000</v>
      </c>
    </row>
    <row r="14" spans="2:6" x14ac:dyDescent="0.2">
      <c r="B14" s="71">
        <f t="shared" si="1"/>
        <v>12</v>
      </c>
      <c r="C14" s="72"/>
      <c r="D14" s="72">
        <v>100000</v>
      </c>
      <c r="E14" s="72">
        <f>+Report!F142</f>
        <v>600000</v>
      </c>
      <c r="F14" s="73">
        <f t="shared" si="0"/>
        <v>500000</v>
      </c>
    </row>
    <row r="15" spans="2:6" x14ac:dyDescent="0.2">
      <c r="B15" s="71">
        <f t="shared" si="1"/>
        <v>13</v>
      </c>
      <c r="C15" s="72"/>
      <c r="D15" s="72">
        <v>1300000</v>
      </c>
      <c r="E15" s="72">
        <f>+Report!F152</f>
        <v>4800000</v>
      </c>
      <c r="F15" s="73">
        <f t="shared" si="0"/>
        <v>3500000</v>
      </c>
    </row>
    <row r="16" spans="2:6" x14ac:dyDescent="0.2">
      <c r="B16" s="71">
        <f t="shared" si="1"/>
        <v>14</v>
      </c>
      <c r="C16" s="72"/>
      <c r="D16" s="72">
        <v>3100000</v>
      </c>
      <c r="E16" s="72">
        <f>+Report!F164</f>
        <v>8100000</v>
      </c>
      <c r="F16" s="73">
        <f t="shared" si="0"/>
        <v>5000000</v>
      </c>
    </row>
    <row r="17" spans="2:6" x14ac:dyDescent="0.2">
      <c r="B17" s="71">
        <f t="shared" si="1"/>
        <v>15</v>
      </c>
      <c r="C17" s="72"/>
      <c r="D17" s="72">
        <v>7170000</v>
      </c>
      <c r="E17" s="72">
        <f>+Report!F178</f>
        <v>9670000</v>
      </c>
      <c r="F17" s="73">
        <f t="shared" si="0"/>
        <v>2500000</v>
      </c>
    </row>
    <row r="18" spans="2:6" x14ac:dyDescent="0.2">
      <c r="B18" s="71">
        <f t="shared" si="1"/>
        <v>16</v>
      </c>
      <c r="C18" s="72"/>
      <c r="D18" s="72">
        <v>2600000</v>
      </c>
      <c r="E18" s="72">
        <f>+Report!F192</f>
        <v>16788877</v>
      </c>
      <c r="F18" s="73">
        <f t="shared" si="0"/>
        <v>14188877</v>
      </c>
    </row>
    <row r="19" spans="2:6" x14ac:dyDescent="0.2">
      <c r="B19" s="71">
        <f t="shared" si="1"/>
        <v>17</v>
      </c>
      <c r="C19" s="72"/>
      <c r="D19" s="72">
        <v>1500000</v>
      </c>
      <c r="E19" s="72">
        <f>+Report!F205</f>
        <v>6500000</v>
      </c>
      <c r="F19" s="73">
        <f t="shared" si="0"/>
        <v>5000000</v>
      </c>
    </row>
    <row r="20" spans="2:6" x14ac:dyDescent="0.2">
      <c r="B20" s="71">
        <f t="shared" si="1"/>
        <v>18</v>
      </c>
      <c r="C20" s="72"/>
      <c r="D20" s="72">
        <v>1770000</v>
      </c>
      <c r="E20" s="72">
        <f>+Report!F216</f>
        <v>2770000</v>
      </c>
      <c r="F20" s="73">
        <f t="shared" si="0"/>
        <v>1000000</v>
      </c>
    </row>
    <row r="21" spans="2:6" x14ac:dyDescent="0.2">
      <c r="B21" s="71">
        <f t="shared" si="1"/>
        <v>19</v>
      </c>
      <c r="C21" s="72"/>
      <c r="D21" s="72">
        <v>16152170</v>
      </c>
      <c r="E21" s="72">
        <f>+Report!F231</f>
        <v>16152170</v>
      </c>
      <c r="F21" s="73">
        <f t="shared" si="0"/>
        <v>0</v>
      </c>
    </row>
    <row r="22" spans="2:6" x14ac:dyDescent="0.2">
      <c r="B22" s="71">
        <f t="shared" si="1"/>
        <v>20</v>
      </c>
      <c r="C22" s="72"/>
      <c r="D22" s="72">
        <v>600000</v>
      </c>
      <c r="E22" s="72">
        <f>+Report!F243</f>
        <v>1350000</v>
      </c>
      <c r="F22" s="73">
        <f t="shared" si="0"/>
        <v>750000</v>
      </c>
    </row>
    <row r="23" spans="2:6" x14ac:dyDescent="0.2">
      <c r="B23" s="71">
        <f t="shared" si="1"/>
        <v>21</v>
      </c>
      <c r="C23" s="72"/>
      <c r="D23" s="72">
        <v>2600000</v>
      </c>
      <c r="E23" s="72">
        <f>+Report!F254</f>
        <v>2850000</v>
      </c>
      <c r="F23" s="73">
        <f t="shared" si="0"/>
        <v>250000</v>
      </c>
    </row>
    <row r="24" spans="2:6" x14ac:dyDescent="0.2">
      <c r="B24" s="71">
        <f t="shared" si="1"/>
        <v>22</v>
      </c>
      <c r="C24" s="72"/>
      <c r="D24" s="72">
        <v>500000</v>
      </c>
      <c r="E24" s="72">
        <f>+Report!F267</f>
        <v>3543480</v>
      </c>
      <c r="F24" s="73">
        <f t="shared" si="0"/>
        <v>3043480</v>
      </c>
    </row>
    <row r="25" spans="2:6" x14ac:dyDescent="0.2">
      <c r="B25" s="71">
        <f t="shared" si="1"/>
        <v>23</v>
      </c>
      <c r="C25" s="72"/>
      <c r="D25" s="72">
        <v>500000</v>
      </c>
      <c r="E25" s="72">
        <f>+Report!F278</f>
        <v>3525000</v>
      </c>
      <c r="F25" s="73">
        <f t="shared" si="0"/>
        <v>3025000</v>
      </c>
    </row>
    <row r="26" spans="2:6" x14ac:dyDescent="0.2">
      <c r="B26" s="71">
        <f t="shared" si="1"/>
        <v>24</v>
      </c>
      <c r="C26" s="72"/>
      <c r="D26" s="72">
        <v>2300000</v>
      </c>
      <c r="E26" s="72">
        <f>+Report!F291</f>
        <v>16235160</v>
      </c>
      <c r="F26" s="73">
        <f t="shared" si="0"/>
        <v>13935160</v>
      </c>
    </row>
    <row r="27" spans="2:6" x14ac:dyDescent="0.2">
      <c r="B27" s="71">
        <f t="shared" si="1"/>
        <v>25</v>
      </c>
      <c r="C27" s="72"/>
      <c r="D27" s="72">
        <v>2100000</v>
      </c>
      <c r="E27" s="72">
        <f>+Report!F303</f>
        <v>8100000</v>
      </c>
      <c r="F27" s="73">
        <f t="shared" si="0"/>
        <v>6000000</v>
      </c>
    </row>
    <row r="28" spans="2:6" x14ac:dyDescent="0.2">
      <c r="B28" s="71">
        <f t="shared" si="1"/>
        <v>26</v>
      </c>
      <c r="C28" s="72"/>
      <c r="D28" s="72">
        <v>16400000</v>
      </c>
      <c r="E28" s="72">
        <f>+Report!F313</f>
        <v>15400000</v>
      </c>
      <c r="F28" s="73">
        <f t="shared" si="0"/>
        <v>-1000000</v>
      </c>
    </row>
    <row r="29" spans="2:6" x14ac:dyDescent="0.2">
      <c r="B29" s="71">
        <f t="shared" si="1"/>
        <v>27</v>
      </c>
      <c r="C29" s="72"/>
      <c r="D29" s="72">
        <v>1600000</v>
      </c>
      <c r="E29" s="72">
        <f>+Report!F322</f>
        <v>2860000</v>
      </c>
      <c r="F29" s="73">
        <f t="shared" si="0"/>
        <v>1260000</v>
      </c>
    </row>
    <row r="30" spans="2:6" x14ac:dyDescent="0.2">
      <c r="B30" s="71">
        <f t="shared" si="1"/>
        <v>28</v>
      </c>
      <c r="C30" s="72"/>
      <c r="D30" s="72">
        <v>4643480</v>
      </c>
      <c r="E30" s="72">
        <f>+Report!F330</f>
        <v>4843519.5</v>
      </c>
      <c r="F30" s="73">
        <f t="shared" si="0"/>
        <v>200039.5</v>
      </c>
    </row>
    <row r="31" spans="2:6" x14ac:dyDescent="0.2">
      <c r="B31" s="71">
        <f t="shared" si="1"/>
        <v>29</v>
      </c>
      <c r="C31" s="72"/>
      <c r="D31" s="72">
        <v>65546960</v>
      </c>
      <c r="E31" s="72">
        <f>+Report!F356</f>
        <v>70743103</v>
      </c>
      <c r="F31" s="73">
        <f t="shared" si="0"/>
        <v>5196143</v>
      </c>
    </row>
    <row r="32" spans="2:6" x14ac:dyDescent="0.2">
      <c r="B32" s="71">
        <f t="shared" si="1"/>
        <v>30</v>
      </c>
      <c r="C32" s="72"/>
      <c r="D32" s="72">
        <v>2900000</v>
      </c>
      <c r="E32" s="72">
        <f>+Report!F367</f>
        <v>3650000</v>
      </c>
      <c r="F32" s="73">
        <f t="shared" si="0"/>
        <v>750000</v>
      </c>
    </row>
    <row r="33" spans="2:6" x14ac:dyDescent="0.2">
      <c r="B33" s="71">
        <f t="shared" si="1"/>
        <v>31</v>
      </c>
      <c r="C33" s="72"/>
      <c r="D33" s="72">
        <v>33404350</v>
      </c>
      <c r="E33" s="72">
        <f>+Report!F384</f>
        <v>37104350</v>
      </c>
      <c r="F33" s="73">
        <f t="shared" si="0"/>
        <v>3700000</v>
      </c>
    </row>
    <row r="34" spans="2:6" x14ac:dyDescent="0.2">
      <c r="B34" s="71">
        <f t="shared" si="1"/>
        <v>32</v>
      </c>
      <c r="C34" s="72"/>
      <c r="D34" s="72">
        <v>2200000</v>
      </c>
      <c r="E34" s="72">
        <f>+Report!F394</f>
        <v>2600000</v>
      </c>
      <c r="F34" s="73">
        <f t="shared" si="0"/>
        <v>400000</v>
      </c>
    </row>
    <row r="35" spans="2:6" x14ac:dyDescent="0.2">
      <c r="B35" s="71">
        <f t="shared" si="1"/>
        <v>33</v>
      </c>
      <c r="C35" s="72"/>
      <c r="D35" s="72">
        <v>8478260</v>
      </c>
      <c r="E35" s="72">
        <f>+Report!F413</f>
        <v>17221779.5</v>
      </c>
      <c r="F35" s="73">
        <f t="shared" si="0"/>
        <v>8743519.5</v>
      </c>
    </row>
    <row r="36" spans="2:6" x14ac:dyDescent="0.2">
      <c r="B36" s="71">
        <f t="shared" si="1"/>
        <v>34</v>
      </c>
      <c r="C36" s="72"/>
      <c r="D36" s="72">
        <v>1500000</v>
      </c>
      <c r="E36" s="72">
        <f>+Report!F423</f>
        <v>1500000</v>
      </c>
      <c r="F36" s="73">
        <f t="shared" si="0"/>
        <v>0</v>
      </c>
    </row>
    <row r="37" spans="2:6" x14ac:dyDescent="0.2">
      <c r="B37" s="71">
        <f t="shared" si="1"/>
        <v>35</v>
      </c>
      <c r="C37" s="72"/>
      <c r="D37" s="72">
        <v>4500000</v>
      </c>
      <c r="E37" s="72">
        <f>+Report!F433</f>
        <v>4500000</v>
      </c>
      <c r="F37" s="73">
        <f t="shared" si="0"/>
        <v>0</v>
      </c>
    </row>
    <row r="38" spans="2:6" x14ac:dyDescent="0.2">
      <c r="B38" s="71">
        <f t="shared" si="1"/>
        <v>36</v>
      </c>
      <c r="C38" s="72"/>
      <c r="D38" s="72">
        <v>18513050</v>
      </c>
      <c r="E38" s="72">
        <f>+Report!F445</f>
        <v>18513050</v>
      </c>
      <c r="F38" s="73">
        <f t="shared" si="0"/>
        <v>0</v>
      </c>
    </row>
    <row r="39" spans="2:6" x14ac:dyDescent="0.2">
      <c r="B39" s="71">
        <f t="shared" si="1"/>
        <v>37</v>
      </c>
      <c r="C39" s="72"/>
      <c r="D39" s="72">
        <v>40040890</v>
      </c>
      <c r="E39" s="72">
        <f>+Report!F459</f>
        <v>40040890</v>
      </c>
      <c r="F39" s="73">
        <f t="shared" si="0"/>
        <v>0</v>
      </c>
    </row>
    <row r="40" spans="2:6" x14ac:dyDescent="0.2">
      <c r="B40" s="71">
        <f t="shared" si="1"/>
        <v>38</v>
      </c>
      <c r="C40" s="72"/>
      <c r="D40" s="72">
        <v>4178260</v>
      </c>
      <c r="E40" s="72">
        <f>+Report!F470</f>
        <v>4178260</v>
      </c>
      <c r="F40" s="73">
        <f t="shared" si="0"/>
        <v>0</v>
      </c>
    </row>
    <row r="41" spans="2:6" x14ac:dyDescent="0.2">
      <c r="B41" s="71">
        <f t="shared" si="1"/>
        <v>39</v>
      </c>
      <c r="C41" s="72"/>
      <c r="D41" s="72">
        <v>100000</v>
      </c>
      <c r="E41" s="72">
        <f>+Report!F484</f>
        <v>1150000</v>
      </c>
      <c r="F41" s="73">
        <f t="shared" si="0"/>
        <v>1050000</v>
      </c>
    </row>
    <row r="42" spans="2:6" x14ac:dyDescent="0.2">
      <c r="B42" s="71">
        <f t="shared" si="1"/>
        <v>40</v>
      </c>
      <c r="C42" s="72"/>
      <c r="D42" s="72">
        <v>5100000</v>
      </c>
      <c r="E42" s="72">
        <f>+Report!F508</f>
        <v>12400000</v>
      </c>
      <c r="F42" s="73">
        <f t="shared" si="0"/>
        <v>7300000</v>
      </c>
    </row>
    <row r="43" spans="2:6" x14ac:dyDescent="0.2">
      <c r="B43" s="71">
        <f t="shared" si="1"/>
        <v>41</v>
      </c>
      <c r="C43" s="72"/>
      <c r="D43" s="72">
        <v>101435590</v>
      </c>
      <c r="E43" s="72">
        <f>+Report!F537</f>
        <v>123912665</v>
      </c>
      <c r="F43" s="73">
        <f t="shared" si="0"/>
        <v>22477075</v>
      </c>
    </row>
    <row r="44" spans="2:6" x14ac:dyDescent="0.2">
      <c r="B44" s="71">
        <f t="shared" si="1"/>
        <v>42</v>
      </c>
      <c r="C44" s="72"/>
      <c r="D44" s="72">
        <v>5978260</v>
      </c>
      <c r="E44" s="72">
        <f>+Report!F547</f>
        <v>8978260</v>
      </c>
      <c r="F44" s="73">
        <f t="shared" si="0"/>
        <v>3000000</v>
      </c>
    </row>
    <row r="45" spans="2:6" x14ac:dyDescent="0.2">
      <c r="B45" s="71">
        <f t="shared" si="1"/>
        <v>43</v>
      </c>
      <c r="C45" s="72"/>
      <c r="D45" s="72">
        <v>400000</v>
      </c>
      <c r="E45" s="72">
        <f>+Report!F558</f>
        <v>3400000</v>
      </c>
      <c r="F45" s="73">
        <f t="shared" si="0"/>
        <v>3000000</v>
      </c>
    </row>
    <row r="46" spans="2:6" x14ac:dyDescent="0.2">
      <c r="B46" s="71">
        <f t="shared" si="1"/>
        <v>44</v>
      </c>
      <c r="C46" s="72"/>
      <c r="D46" s="72">
        <v>16013040</v>
      </c>
      <c r="E46" s="72">
        <f>+Report!F568</f>
        <v>13398780</v>
      </c>
      <c r="F46" s="73">
        <f t="shared" si="0"/>
        <v>-2614260</v>
      </c>
    </row>
    <row r="47" spans="2:6" x14ac:dyDescent="0.2">
      <c r="B47" s="71">
        <f t="shared" si="1"/>
        <v>45</v>
      </c>
      <c r="C47" s="72"/>
      <c r="D47" s="72">
        <v>12404350</v>
      </c>
      <c r="E47" s="72">
        <f>+Report!F582</f>
        <v>26699860</v>
      </c>
      <c r="F47" s="73">
        <f t="shared" si="0"/>
        <v>14295510</v>
      </c>
    </row>
    <row r="48" spans="2:6" x14ac:dyDescent="0.2">
      <c r="B48" s="71">
        <f t="shared" si="1"/>
        <v>46</v>
      </c>
      <c r="C48" s="72"/>
      <c r="D48" s="72">
        <v>1850000</v>
      </c>
      <c r="E48" s="72">
        <f>+Report!F596</f>
        <v>10328260</v>
      </c>
      <c r="F48" s="73">
        <f t="shared" si="0"/>
        <v>8478260</v>
      </c>
    </row>
    <row r="49" spans="2:6" x14ac:dyDescent="0.2">
      <c r="B49" s="71">
        <f t="shared" si="1"/>
        <v>47</v>
      </c>
      <c r="C49" s="72"/>
      <c r="D49" s="72">
        <v>4328260</v>
      </c>
      <c r="E49" s="72">
        <f>+Report!F616</f>
        <v>5828260</v>
      </c>
      <c r="F49" s="73">
        <f t="shared" si="0"/>
        <v>1500000</v>
      </c>
    </row>
    <row r="50" spans="2:6" x14ac:dyDescent="0.2">
      <c r="B50" s="71">
        <f t="shared" si="1"/>
        <v>48</v>
      </c>
      <c r="C50" s="72"/>
      <c r="D50" s="72">
        <v>2200000</v>
      </c>
      <c r="E50" s="72">
        <f>+Report!F642</f>
        <v>16511720</v>
      </c>
      <c r="F50" s="73">
        <f t="shared" si="0"/>
        <v>14311720</v>
      </c>
    </row>
    <row r="51" spans="2:6" x14ac:dyDescent="0.2">
      <c r="B51" s="71">
        <f t="shared" si="1"/>
        <v>49</v>
      </c>
      <c r="C51" s="72"/>
      <c r="D51" s="72">
        <v>500000</v>
      </c>
      <c r="E51" s="72">
        <f>+Report!F652</f>
        <v>2000000</v>
      </c>
      <c r="F51" s="73">
        <f t="shared" si="0"/>
        <v>1500000</v>
      </c>
    </row>
    <row r="52" spans="2:6" x14ac:dyDescent="0.2">
      <c r="B52" s="71">
        <f t="shared" si="1"/>
        <v>50</v>
      </c>
      <c r="C52" s="72"/>
      <c r="D52" s="72">
        <v>12578260</v>
      </c>
      <c r="E52" s="72">
        <f>+Report!F663</f>
        <v>23141974</v>
      </c>
      <c r="F52" s="73">
        <f t="shared" si="0"/>
        <v>10563714</v>
      </c>
    </row>
    <row r="53" spans="2:6" x14ac:dyDescent="0.2">
      <c r="B53" s="71">
        <f t="shared" si="1"/>
        <v>51</v>
      </c>
      <c r="C53" s="72"/>
      <c r="D53" s="72">
        <v>100000</v>
      </c>
      <c r="E53" s="72">
        <f>+Report!F674</f>
        <v>4200000</v>
      </c>
      <c r="F53" s="73">
        <f t="shared" si="0"/>
        <v>4100000</v>
      </c>
    </row>
    <row r="54" spans="2:6" x14ac:dyDescent="0.2">
      <c r="B54" s="71">
        <f t="shared" si="1"/>
        <v>52</v>
      </c>
      <c r="C54" s="72"/>
      <c r="D54" s="72">
        <v>3134780</v>
      </c>
      <c r="E54" s="72">
        <f>+Report!F687</f>
        <v>9134780</v>
      </c>
      <c r="F54" s="73">
        <f t="shared" si="0"/>
        <v>6000000</v>
      </c>
    </row>
    <row r="55" spans="2:6" x14ac:dyDescent="0.2">
      <c r="B55" s="71">
        <f t="shared" si="1"/>
        <v>53</v>
      </c>
      <c r="C55" s="72"/>
      <c r="D55" s="72">
        <v>9650000</v>
      </c>
      <c r="E55" s="72">
        <f>+Report!F703</f>
        <v>13100000</v>
      </c>
      <c r="F55" s="73">
        <f t="shared" si="0"/>
        <v>3450000</v>
      </c>
    </row>
    <row r="56" spans="2:6" x14ac:dyDescent="0.2">
      <c r="B56" s="71">
        <f t="shared" si="1"/>
        <v>54</v>
      </c>
      <c r="C56" s="72"/>
      <c r="D56" s="72">
        <v>57739990</v>
      </c>
      <c r="E56" s="72">
        <f>+Report!F730</f>
        <v>108617545</v>
      </c>
      <c r="F56" s="73">
        <f t="shared" si="0"/>
        <v>50877555</v>
      </c>
    </row>
    <row r="57" spans="2:6" x14ac:dyDescent="0.2">
      <c r="B57" s="71">
        <f t="shared" si="1"/>
        <v>55</v>
      </c>
      <c r="C57" s="72"/>
      <c r="D57" s="72">
        <v>3100000</v>
      </c>
      <c r="E57" s="72">
        <f>+Report!F738</f>
        <v>4100000</v>
      </c>
      <c r="F57" s="73">
        <f t="shared" si="0"/>
        <v>1000000</v>
      </c>
    </row>
    <row r="58" spans="2:6" x14ac:dyDescent="0.2">
      <c r="B58" s="71">
        <f t="shared" si="1"/>
        <v>56</v>
      </c>
      <c r="C58" s="72"/>
      <c r="D58" s="72">
        <v>1600000</v>
      </c>
      <c r="E58" s="72">
        <f>+Report!F746</f>
        <v>1700000</v>
      </c>
      <c r="F58" s="73">
        <f t="shared" si="0"/>
        <v>100000</v>
      </c>
    </row>
    <row r="59" spans="2:6" x14ac:dyDescent="0.2">
      <c r="B59" s="71">
        <f t="shared" si="1"/>
        <v>57</v>
      </c>
      <c r="C59" s="72"/>
      <c r="D59" s="72">
        <v>2100000</v>
      </c>
      <c r="E59" s="72">
        <f>+Report!F755</f>
        <v>2250000</v>
      </c>
      <c r="F59" s="73">
        <f t="shared" si="0"/>
        <v>150000</v>
      </c>
    </row>
    <row r="60" spans="2:6" x14ac:dyDescent="0.2">
      <c r="B60" s="71">
        <f t="shared" si="1"/>
        <v>58</v>
      </c>
      <c r="C60" s="72"/>
      <c r="D60" s="72">
        <v>2400000</v>
      </c>
      <c r="E60" s="72">
        <f>+Report!F765</f>
        <v>5000000</v>
      </c>
      <c r="F60" s="73">
        <f t="shared" si="0"/>
        <v>2600000</v>
      </c>
    </row>
    <row r="61" spans="2:6" x14ac:dyDescent="0.2">
      <c r="B61" s="71">
        <f t="shared" si="1"/>
        <v>59</v>
      </c>
      <c r="C61" s="72"/>
      <c r="D61" s="72">
        <v>1430000</v>
      </c>
      <c r="E61" s="72">
        <f>+Report!F775</f>
        <v>3530000</v>
      </c>
      <c r="F61" s="73">
        <f t="shared" si="0"/>
        <v>2100000</v>
      </c>
    </row>
    <row r="62" spans="2:6" x14ac:dyDescent="0.2">
      <c r="B62" s="71">
        <f t="shared" si="1"/>
        <v>60</v>
      </c>
      <c r="C62" s="72"/>
      <c r="D62" s="72">
        <v>18050000</v>
      </c>
      <c r="E62" s="72">
        <f>+Report!F795</f>
        <v>30271740</v>
      </c>
      <c r="F62" s="73">
        <f t="shared" si="0"/>
        <v>12221740</v>
      </c>
    </row>
    <row r="63" spans="2:6" s="77" customFormat="1" ht="12" thickBot="1" x14ac:dyDescent="0.25">
      <c r="B63" s="74" t="s">
        <v>869</v>
      </c>
      <c r="C63" s="75">
        <f>+SUM(C3:C62)</f>
        <v>103220000</v>
      </c>
      <c r="D63" s="75">
        <f>+SUM(D3:D62)</f>
        <v>653414320</v>
      </c>
      <c r="E63" s="75">
        <f>+SUM(E3:E62)</f>
        <v>908437853</v>
      </c>
      <c r="F63" s="76">
        <f>+SUM(F3:F62)</f>
        <v>255023533</v>
      </c>
    </row>
    <row r="64" spans="2:6" s="77" customFormat="1" ht="12" thickTop="1" x14ac:dyDescent="0.2">
      <c r="B64" s="70"/>
      <c r="E64" s="78">
        <f>+E63-'Cluster Summary'!E9</f>
        <v>0</v>
      </c>
    </row>
    <row r="65" spans="2:6" s="77" customFormat="1" x14ac:dyDescent="0.2">
      <c r="B65" s="79" t="s">
        <v>872</v>
      </c>
      <c r="F65" s="78">
        <f>+F63</f>
        <v>255023533</v>
      </c>
    </row>
    <row r="66" spans="2:6" s="77" customFormat="1" x14ac:dyDescent="0.2">
      <c r="B66" s="70"/>
    </row>
    <row r="67" spans="2:6" s="77" customFormat="1" x14ac:dyDescent="0.2">
      <c r="B67" s="70"/>
      <c r="F67" s="80">
        <f>+F63/D63</f>
        <v>0.39029376185082693</v>
      </c>
    </row>
    <row r="68" spans="2:6" s="77" customFormat="1" x14ac:dyDescent="0.2">
      <c r="B68" s="70"/>
    </row>
    <row r="69" spans="2:6" s="77" customFormat="1" x14ac:dyDescent="0.2">
      <c r="B69" s="70"/>
    </row>
    <row r="70" spans="2:6" s="77" customFormat="1" x14ac:dyDescent="0.2">
      <c r="B70" s="70"/>
    </row>
    <row r="71" spans="2:6" s="77" customFormat="1" x14ac:dyDescent="0.2">
      <c r="B71" s="70"/>
    </row>
    <row r="72" spans="2:6" s="77" customFormat="1" x14ac:dyDescent="0.2">
      <c r="B72" s="70"/>
    </row>
    <row r="73" spans="2:6" s="77" customFormat="1" x14ac:dyDescent="0.2">
      <c r="B73" s="70"/>
    </row>
    <row r="74" spans="2:6" s="77" customFormat="1" x14ac:dyDescent="0.2">
      <c r="B74" s="70"/>
    </row>
    <row r="75" spans="2:6" s="77" customFormat="1" x14ac:dyDescent="0.2">
      <c r="B75" s="70"/>
    </row>
    <row r="76" spans="2:6" s="77" customFormat="1" x14ac:dyDescent="0.2">
      <c r="B76" s="70"/>
    </row>
    <row r="77" spans="2:6" s="77" customFormat="1" x14ac:dyDescent="0.2">
      <c r="B77" s="70"/>
    </row>
    <row r="78" spans="2:6" s="77" customFormat="1" x14ac:dyDescent="0.2">
      <c r="B78" s="70"/>
    </row>
    <row r="79" spans="2:6" s="77" customFormat="1" x14ac:dyDescent="0.2">
      <c r="B79" s="70"/>
    </row>
    <row r="80" spans="2:6" s="77" customFormat="1" x14ac:dyDescent="0.2">
      <c r="B80" s="70"/>
    </row>
    <row r="81" spans="2:2" s="77" customFormat="1" x14ac:dyDescent="0.2">
      <c r="B81" s="70"/>
    </row>
    <row r="82" spans="2:2" s="77" customFormat="1" x14ac:dyDescent="0.2">
      <c r="B82" s="70"/>
    </row>
    <row r="83" spans="2:2" s="77" customFormat="1" x14ac:dyDescent="0.2">
      <c r="B83" s="70"/>
    </row>
    <row r="84" spans="2:2" s="77" customFormat="1" x14ac:dyDescent="0.2">
      <c r="B84" s="70"/>
    </row>
    <row r="85" spans="2:2" s="77" customFormat="1" x14ac:dyDescent="0.2">
      <c r="B85" s="70"/>
    </row>
    <row r="86" spans="2:2" s="77" customFormat="1" x14ac:dyDescent="0.2">
      <c r="B86" s="70"/>
    </row>
    <row r="87" spans="2:2" s="77" customFormat="1" x14ac:dyDescent="0.2">
      <c r="B87" s="70"/>
    </row>
    <row r="88" spans="2:2" s="77" customFormat="1" x14ac:dyDescent="0.2">
      <c r="B88" s="70"/>
    </row>
    <row r="89" spans="2:2" s="77" customFormat="1" x14ac:dyDescent="0.2">
      <c r="B89" s="70"/>
    </row>
    <row r="90" spans="2:2" s="77" customFormat="1" x14ac:dyDescent="0.2">
      <c r="B90" s="70"/>
    </row>
    <row r="91" spans="2:2" s="77" customFormat="1" x14ac:dyDescent="0.2">
      <c r="B91" s="70"/>
    </row>
    <row r="92" spans="2:2" s="77" customFormat="1" x14ac:dyDescent="0.2">
      <c r="B92" s="70"/>
    </row>
    <row r="93" spans="2:2" s="77" customFormat="1" x14ac:dyDescent="0.2">
      <c r="B93" s="70"/>
    </row>
    <row r="94" spans="2:2" s="77" customFormat="1" x14ac:dyDescent="0.2">
      <c r="B94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Cluster Summary</vt:lpstr>
      <vt:lpstr>Cluster Chart</vt:lpstr>
      <vt:lpstr>Ward Comparison Table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Ishaam Dolley</dc:creator>
  <cp:lastModifiedBy>Adriaan, Ferreira</cp:lastModifiedBy>
  <cp:lastPrinted>2025-06-12T08:03:47Z</cp:lastPrinted>
  <dcterms:created xsi:type="dcterms:W3CDTF">2024-03-19T10:10:01Z</dcterms:created>
  <dcterms:modified xsi:type="dcterms:W3CDTF">2025-06-23T09:01:25Z</dcterms:modified>
</cp:coreProperties>
</file>